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3.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mc:AlternateContent xmlns:mc="http://schemas.openxmlformats.org/markup-compatibility/2006">
    <mc:Choice Requires="x15">
      <x15ac:absPath xmlns:x15ac="http://schemas.microsoft.com/office/spreadsheetml/2010/11/ac" url="/Users/ednaaguinaga/Library/CloudStorage/GoogleDrive-edna@travesiapartners.com/.shortcut-targets-by-id/0B7M9lBALlzsbLVU5VGdxVktIbkU/*Travesia/5 - Clients/Endeavour Silver/SR 2025/Data collection/"/>
    </mc:Choice>
  </mc:AlternateContent>
  <xr:revisionPtr revIDLastSave="0" documentId="8_{4DA954AD-B4DC-BC46-9FD4-23140B75865E}" xr6:coauthVersionLast="47" xr6:coauthVersionMax="47" xr10:uidLastSave="{00000000-0000-0000-0000-000000000000}"/>
  <bookViews>
    <workbookView xWindow="0" yWindow="660" windowWidth="29400" windowHeight="18460" activeTab="9" xr2:uid="{00000000-000D-0000-FFFF-FFFF00000000}"/>
  </bookViews>
  <sheets>
    <sheet name="Introduction" sheetId="1" r:id="rId1"/>
    <sheet name="Governance" sheetId="11" r:id="rId2"/>
    <sheet name="Workforce" sheetId="2" r:id="rId3"/>
    <sheet name="Health and Safety" sheetId="3" r:id="rId4"/>
    <sheet name="Community Relations" sheetId="4" r:id="rId5"/>
    <sheet name="Water and Biodiversity" sheetId="6" r:id="rId6"/>
    <sheet name="Energy and Emissions" sheetId="5" r:id="rId7"/>
    <sheet name="Tailings and Waste" sheetId="19" r:id="rId8"/>
    <sheet name="Workforce-backup14mar" sheetId="8" state="hidden" r:id="rId9"/>
    <sheet name="Business" sheetId="9" r:id="rId10"/>
  </sheets>
  <definedNames>
    <definedName name="A_impresión_IM" localSheetId="9">#REF!</definedName>
    <definedName name="A_impresión_IM" localSheetId="4">#REF!</definedName>
    <definedName name="A_impresión_IM" localSheetId="6">#REF!</definedName>
    <definedName name="A_impresión_IM" localSheetId="3">#REF!</definedName>
    <definedName name="A_impresión_IM" localSheetId="2">#REF!</definedName>
    <definedName name="A_impresión_IM" localSheetId="8">#REF!</definedName>
    <definedName name="A_impresión_IM">#REF!</definedName>
    <definedName name="Z_5235D54F_236D_9845_9841_14145FDE0ACC_.wvu.Cols" localSheetId="9">Business!#REF!,Business!#REF!</definedName>
    <definedName name="Z_5235D54F_236D_9845_9841_14145FDE0ACC_.wvu.Cols" localSheetId="4">'Community Relations'!#REF!,'Community Relations'!#REF!</definedName>
    <definedName name="Z_5235D54F_236D_9845_9841_14145FDE0ACC_.wvu.Cols" localSheetId="6">'Energy and Emissions'!#REF!,'Energy and Emissions'!#REF!</definedName>
    <definedName name="Z_5235D54F_236D_9845_9841_14145FDE0ACC_.wvu.Cols" localSheetId="1">Governance!#REF!,Governance!#REF!</definedName>
    <definedName name="Z_5235D54F_236D_9845_9841_14145FDE0ACC_.wvu.Cols" localSheetId="3">'Health and Safety'!#REF!,'Health and Safety'!$U:$W</definedName>
    <definedName name="Z_5235D54F_236D_9845_9841_14145FDE0ACC_.wvu.Cols" localSheetId="7">'Tailings and Waste'!#REF!,'Tailings and Waste'!#REF!</definedName>
    <definedName name="Z_5235D54F_236D_9845_9841_14145FDE0ACC_.wvu.Cols" localSheetId="5">'Water and Biodiversity'!#REF!,'Water and Biodiversity'!#REF!</definedName>
    <definedName name="Z_5235D54F_236D_9845_9841_14145FDE0ACC_.wvu.Cols" localSheetId="2">Workforce!#REF!,Workforce!#REF!</definedName>
    <definedName name="Z_5235D54F_236D_9845_9841_14145FDE0ACC_.wvu.Cols" localSheetId="8">'Workforce-backup14mar'!$AC:$AI,'Workforce-backup14mar'!#REF!</definedName>
    <definedName name="Z_B02DF7EE_631E_654C_AE03_BBD09F9B2295_.wvu.Cols" localSheetId="9">Business!#REF!,Business!#REF!</definedName>
    <definedName name="Z_B02DF7EE_631E_654C_AE03_BBD09F9B2295_.wvu.Cols" localSheetId="4">'Community Relations'!#REF!,'Community Relations'!#REF!</definedName>
    <definedName name="Z_B02DF7EE_631E_654C_AE03_BBD09F9B2295_.wvu.Cols" localSheetId="6">'Energy and Emissions'!#REF!,'Energy and Emissions'!#REF!</definedName>
    <definedName name="Z_B02DF7EE_631E_654C_AE03_BBD09F9B2295_.wvu.Cols" localSheetId="1">Governance!#REF!,Governance!#REF!</definedName>
    <definedName name="Z_B02DF7EE_631E_654C_AE03_BBD09F9B2295_.wvu.Cols" localSheetId="3">'Health and Safety'!#REF!,'Health and Safety'!$U:$W</definedName>
    <definedName name="Z_B02DF7EE_631E_654C_AE03_BBD09F9B2295_.wvu.Cols" localSheetId="7">'Tailings and Waste'!#REF!,'Tailings and Waste'!#REF!</definedName>
    <definedName name="Z_B02DF7EE_631E_654C_AE03_BBD09F9B2295_.wvu.Cols" localSheetId="5">'Water and Biodiversity'!#REF!,'Water and Biodiversity'!#REF!</definedName>
    <definedName name="Z_B02DF7EE_631E_654C_AE03_BBD09F9B2295_.wvu.Cols" localSheetId="2">Workforce!#REF!,Workforce!#REF!</definedName>
    <definedName name="Z_B02DF7EE_631E_654C_AE03_BBD09F9B2295_.wvu.Cols" localSheetId="8">'Workforce-backup14mar'!$AC:$AI,'Workforce-backup14mar'!#REF!</definedName>
    <definedName name="Z_EBE16B4E_4633_4E68_B5CD_BB74AE6E750E_.wvu.Cols" localSheetId="9">Business!#REF!,Business!#REF!</definedName>
    <definedName name="Z_EBE16B4E_4633_4E68_B5CD_BB74AE6E750E_.wvu.Cols" localSheetId="4">'Community Relations'!#REF!,'Community Relations'!#REF!</definedName>
    <definedName name="Z_EBE16B4E_4633_4E68_B5CD_BB74AE6E750E_.wvu.Cols" localSheetId="6">'Energy and Emissions'!#REF!,'Energy and Emissions'!#REF!</definedName>
    <definedName name="Z_EBE16B4E_4633_4E68_B5CD_BB74AE6E750E_.wvu.Cols" localSheetId="1">Governance!#REF!,Governance!#REF!</definedName>
    <definedName name="Z_EBE16B4E_4633_4E68_B5CD_BB74AE6E750E_.wvu.Cols" localSheetId="3">'Health and Safety'!#REF!,'Health and Safety'!$U:$W</definedName>
    <definedName name="Z_EBE16B4E_4633_4E68_B5CD_BB74AE6E750E_.wvu.Cols" localSheetId="7">'Tailings and Waste'!#REF!,'Tailings and Waste'!#REF!</definedName>
    <definedName name="Z_EBE16B4E_4633_4E68_B5CD_BB74AE6E750E_.wvu.Cols" localSheetId="5">'Water and Biodiversity'!#REF!,'Water and Biodiversity'!#REF!</definedName>
    <definedName name="Z_EBE16B4E_4633_4E68_B5CD_BB74AE6E750E_.wvu.Cols" localSheetId="2">Workforce!#REF!,Workforce!#REF!</definedName>
    <definedName name="Z_EBE16B4E_4633_4E68_B5CD_BB74AE6E750E_.wvu.Cols" localSheetId="8">'Workforce-backup14mar'!$AC:$AI,'Workforce-backup14mar'!#REF!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9" l="1"/>
  <c r="K22" i="9" s="1"/>
  <c r="J14" i="9"/>
  <c r="F21" i="9"/>
  <c r="I21" i="9"/>
  <c r="H89" i="19"/>
  <c r="H88" i="19"/>
  <c r="H87" i="19"/>
  <c r="H86" i="19"/>
  <c r="I45" i="6"/>
  <c r="N45" i="6"/>
  <c r="S45" i="6"/>
  <c r="X45" i="6"/>
  <c r="M129" i="2" l="1"/>
  <c r="E129" i="2"/>
  <c r="H80" i="2"/>
  <c r="F112" i="2" l="1"/>
  <c r="F111" i="2"/>
  <c r="F107" i="2"/>
  <c r="F95" i="2"/>
  <c r="F100" i="2"/>
  <c r="F80" i="2"/>
  <c r="L29" i="9" l="1"/>
  <c r="I30" i="6" s="1"/>
  <c r="H82" i="19"/>
  <c r="H83" i="19"/>
  <c r="I78" i="19"/>
  <c r="I73" i="5"/>
  <c r="I74" i="5"/>
  <c r="I75" i="5"/>
  <c r="I6" i="5"/>
  <c r="D47" i="4"/>
  <c r="D45" i="3"/>
  <c r="K15" i="3"/>
  <c r="D175" i="2"/>
  <c r="D148" i="2"/>
  <c r="D141" i="2"/>
  <c r="D140" i="2"/>
  <c r="I118" i="2"/>
  <c r="R91" i="2"/>
  <c r="D55" i="2"/>
  <c r="R39" i="2"/>
  <c r="D34" i="2"/>
  <c r="D131" i="2" s="1"/>
  <c r="K23" i="2"/>
  <c r="K22" i="2"/>
  <c r="K16" i="2"/>
  <c r="D37" i="11"/>
  <c r="D35" i="11"/>
  <c r="D26" i="11"/>
  <c r="D29" i="11"/>
  <c r="J31" i="4"/>
  <c r="J32" i="4"/>
  <c r="J35" i="4" s="1"/>
  <c r="J30" i="4"/>
  <c r="J11" i="9"/>
  <c r="J17" i="9"/>
  <c r="J21" i="9" l="1"/>
  <c r="K24" i="2"/>
  <c r="K25" i="2" s="1"/>
  <c r="D147" i="2"/>
  <c r="H76" i="2"/>
  <c r="E28" i="2"/>
  <c r="H15" i="2"/>
  <c r="L84" i="9" l="1"/>
  <c r="L83" i="9"/>
  <c r="L82" i="9"/>
  <c r="L35" i="9" l="1"/>
  <c r="H60" i="19" l="1"/>
  <c r="H59" i="19"/>
  <c r="H57" i="19"/>
  <c r="H6" i="19"/>
  <c r="H8" i="19" s="1"/>
  <c r="H11" i="19" s="1"/>
  <c r="H39" i="19"/>
  <c r="I7" i="19"/>
  <c r="E39" i="19"/>
  <c r="H9" i="19"/>
  <c r="H24" i="19" s="1"/>
  <c r="Q97" i="19"/>
  <c r="M97" i="19"/>
  <c r="I97" i="19"/>
  <c r="Q96" i="19"/>
  <c r="M96" i="19"/>
  <c r="I96" i="19"/>
  <c r="Q95" i="19"/>
  <c r="M95" i="19"/>
  <c r="I95" i="19"/>
  <c r="Q94" i="19"/>
  <c r="M94" i="19"/>
  <c r="I94" i="19"/>
  <c r="T91" i="19"/>
  <c r="S91" i="19"/>
  <c r="R91" i="19"/>
  <c r="P91" i="19"/>
  <c r="O91" i="19"/>
  <c r="N91" i="19"/>
  <c r="Q91" i="19" s="1"/>
  <c r="L91" i="19"/>
  <c r="K91" i="19"/>
  <c r="J91" i="19"/>
  <c r="Q90" i="19"/>
  <c r="M90" i="19"/>
  <c r="G90" i="19"/>
  <c r="F90" i="19"/>
  <c r="U89" i="19"/>
  <c r="Q89" i="19"/>
  <c r="M89" i="19"/>
  <c r="G89" i="19"/>
  <c r="F89" i="19"/>
  <c r="E89" i="19"/>
  <c r="U88" i="19"/>
  <c r="Q88" i="19"/>
  <c r="M88" i="19"/>
  <c r="G88" i="19"/>
  <c r="F88" i="19"/>
  <c r="E88" i="19"/>
  <c r="U87" i="19"/>
  <c r="Q87" i="19"/>
  <c r="M87" i="19"/>
  <c r="G87" i="19"/>
  <c r="F87" i="19"/>
  <c r="E87" i="19"/>
  <c r="U86" i="19"/>
  <c r="Q86" i="19"/>
  <c r="M86" i="19"/>
  <c r="G86" i="19"/>
  <c r="F86" i="19"/>
  <c r="E86" i="19"/>
  <c r="T83" i="19"/>
  <c r="S83" i="19"/>
  <c r="R83" i="19"/>
  <c r="P83" i="19"/>
  <c r="O83" i="19"/>
  <c r="N83" i="19"/>
  <c r="K83" i="19"/>
  <c r="J83" i="19"/>
  <c r="G83" i="19"/>
  <c r="F83" i="19"/>
  <c r="U82" i="19"/>
  <c r="Q82" i="19"/>
  <c r="L82" i="19"/>
  <c r="M82" i="19" s="1"/>
  <c r="E82" i="19"/>
  <c r="I82" i="19" s="1"/>
  <c r="U81" i="19"/>
  <c r="Q81" i="19"/>
  <c r="M81" i="19"/>
  <c r="I81" i="19"/>
  <c r="U80" i="19"/>
  <c r="Q80" i="19"/>
  <c r="L80" i="19"/>
  <c r="M80" i="19" s="1"/>
  <c r="I80" i="19"/>
  <c r="U79" i="19"/>
  <c r="Q79" i="19"/>
  <c r="L79" i="19"/>
  <c r="M79" i="19" s="1"/>
  <c r="I79" i="19"/>
  <c r="U78" i="19"/>
  <c r="Q78" i="19"/>
  <c r="L78" i="19"/>
  <c r="M78" i="19" s="1"/>
  <c r="S75" i="19"/>
  <c r="R75" i="19"/>
  <c r="U74" i="19"/>
  <c r="Q74" i="19"/>
  <c r="M74" i="19"/>
  <c r="I74" i="19"/>
  <c r="U73" i="19"/>
  <c r="Q73" i="19"/>
  <c r="J73" i="19"/>
  <c r="M73" i="19" s="1"/>
  <c r="G73" i="19"/>
  <c r="I73" i="19" s="1"/>
  <c r="U72" i="19"/>
  <c r="O72" i="19"/>
  <c r="O75" i="19" s="1"/>
  <c r="L72" i="19"/>
  <c r="L75" i="19" s="1"/>
  <c r="K72" i="19"/>
  <c r="K75" i="19" s="1"/>
  <c r="J72" i="19"/>
  <c r="H72" i="19"/>
  <c r="H75" i="19" s="1"/>
  <c r="G72" i="19"/>
  <c r="F72" i="19"/>
  <c r="F75" i="19" s="1"/>
  <c r="E72" i="19"/>
  <c r="E75" i="19" s="1"/>
  <c r="U71" i="19"/>
  <c r="N71" i="19"/>
  <c r="Q71" i="19" s="1"/>
  <c r="M71" i="19"/>
  <c r="I71" i="19"/>
  <c r="U70" i="19"/>
  <c r="M70" i="19"/>
  <c r="I70" i="19"/>
  <c r="P66" i="19"/>
  <c r="T61" i="19"/>
  <c r="R61" i="19"/>
  <c r="P61" i="19"/>
  <c r="S60" i="19"/>
  <c r="N60" i="19"/>
  <c r="U59" i="19"/>
  <c r="Q59" i="19"/>
  <c r="L59" i="19"/>
  <c r="K59" i="19"/>
  <c r="J59" i="19"/>
  <c r="G59" i="19"/>
  <c r="E59" i="19"/>
  <c r="U58" i="19"/>
  <c r="Q58" i="19"/>
  <c r="H58" i="19"/>
  <c r="L57" i="19"/>
  <c r="G57" i="19"/>
  <c r="E57" i="19"/>
  <c r="H53" i="19"/>
  <c r="M51" i="19"/>
  <c r="E51" i="19"/>
  <c r="I51" i="19" s="1"/>
  <c r="L50" i="19"/>
  <c r="L60" i="19" s="1"/>
  <c r="K50" i="19"/>
  <c r="G50" i="19"/>
  <c r="F50" i="19"/>
  <c r="M49" i="19"/>
  <c r="I49" i="19"/>
  <c r="M48" i="19"/>
  <c r="I48" i="19"/>
  <c r="L47" i="19"/>
  <c r="L58" i="19" s="1"/>
  <c r="K47" i="19"/>
  <c r="K58" i="19" s="1"/>
  <c r="J47" i="19"/>
  <c r="G47" i="19"/>
  <c r="F47" i="19"/>
  <c r="F58" i="19" s="1"/>
  <c r="E47" i="19"/>
  <c r="E58" i="19" s="1"/>
  <c r="M46" i="19"/>
  <c r="I46" i="19"/>
  <c r="M45" i="19"/>
  <c r="I45" i="19"/>
  <c r="K44" i="19"/>
  <c r="J44" i="19"/>
  <c r="J57" i="19" s="1"/>
  <c r="F44" i="19"/>
  <c r="L39" i="19"/>
  <c r="J37" i="19"/>
  <c r="M37" i="19" s="1"/>
  <c r="G37" i="19"/>
  <c r="I37" i="19" s="1"/>
  <c r="I36" i="19"/>
  <c r="M35" i="19"/>
  <c r="M34" i="19"/>
  <c r="I34" i="19"/>
  <c r="J33" i="19"/>
  <c r="I33" i="19"/>
  <c r="M32" i="19"/>
  <c r="I32" i="19"/>
  <c r="M31" i="19"/>
  <c r="I31" i="19"/>
  <c r="K30" i="19"/>
  <c r="F30" i="19"/>
  <c r="I30" i="19" s="1"/>
  <c r="S24" i="19"/>
  <c r="R24" i="19"/>
  <c r="O24" i="19"/>
  <c r="N24" i="19"/>
  <c r="K24" i="19"/>
  <c r="J24" i="19"/>
  <c r="G24" i="19"/>
  <c r="F24" i="19"/>
  <c r="E24" i="19"/>
  <c r="T23" i="19"/>
  <c r="S23" i="19"/>
  <c r="S25" i="19" s="1"/>
  <c r="R23" i="19"/>
  <c r="P23" i="19"/>
  <c r="L23" i="19"/>
  <c r="K23" i="19"/>
  <c r="K25" i="19" s="1"/>
  <c r="H23" i="19"/>
  <c r="H26" i="19" s="1"/>
  <c r="G23" i="19"/>
  <c r="G26" i="19" s="1"/>
  <c r="F23" i="19"/>
  <c r="E23" i="19"/>
  <c r="E26" i="19" s="1"/>
  <c r="U22" i="19"/>
  <c r="Q22" i="19"/>
  <c r="J22" i="19"/>
  <c r="J23" i="19" s="1"/>
  <c r="I22" i="19"/>
  <c r="U21" i="19"/>
  <c r="Q21" i="19"/>
  <c r="M21" i="19"/>
  <c r="I21" i="19"/>
  <c r="U20" i="19"/>
  <c r="Q20" i="19"/>
  <c r="M20" i="19"/>
  <c r="I20" i="19"/>
  <c r="U19" i="19"/>
  <c r="O19" i="19"/>
  <c r="Q19" i="19" s="1"/>
  <c r="M19" i="19"/>
  <c r="I19" i="19"/>
  <c r="U18" i="19"/>
  <c r="O18" i="19"/>
  <c r="Q18" i="19" s="1"/>
  <c r="M18" i="19"/>
  <c r="I18" i="19"/>
  <c r="U17" i="19"/>
  <c r="Q17" i="19"/>
  <c r="M17" i="19"/>
  <c r="I17" i="19"/>
  <c r="U16" i="19"/>
  <c r="O16" i="19"/>
  <c r="N16" i="19"/>
  <c r="N23" i="19" s="1"/>
  <c r="M16" i="19"/>
  <c r="I16" i="19"/>
  <c r="U12" i="19"/>
  <c r="Q12" i="19"/>
  <c r="S9" i="19"/>
  <c r="R9" i="19"/>
  <c r="O9" i="19"/>
  <c r="N9" i="19"/>
  <c r="L9" i="19"/>
  <c r="K9" i="19"/>
  <c r="J9" i="19"/>
  <c r="G9" i="19"/>
  <c r="F9" i="19"/>
  <c r="E9" i="19"/>
  <c r="T8" i="19"/>
  <c r="S8" i="19"/>
  <c r="S11" i="19" s="1"/>
  <c r="R8" i="19"/>
  <c r="R11" i="19" s="1"/>
  <c r="P8" i="19"/>
  <c r="O8" i="19"/>
  <c r="O11" i="19" s="1"/>
  <c r="N8" i="19"/>
  <c r="N10" i="19" s="1"/>
  <c r="K8" i="19"/>
  <c r="K10" i="19" s="1"/>
  <c r="K36" i="19" s="1"/>
  <c r="J8" i="19"/>
  <c r="G8" i="19"/>
  <c r="E8" i="19"/>
  <c r="E11" i="19" s="1"/>
  <c r="U7" i="19"/>
  <c r="Q7" i="19"/>
  <c r="L7" i="19"/>
  <c r="M7" i="19" s="1"/>
  <c r="U6" i="19"/>
  <c r="Q6" i="19"/>
  <c r="L6" i="19"/>
  <c r="F6" i="19"/>
  <c r="F8" i="19" s="1"/>
  <c r="G55" i="5"/>
  <c r="F55" i="5"/>
  <c r="E55" i="5"/>
  <c r="I50" i="19" l="1"/>
  <c r="N70" i="19"/>
  <c r="N72" i="19" s="1"/>
  <c r="T27" i="19"/>
  <c r="I6" i="19"/>
  <c r="I83" i="19"/>
  <c r="U60" i="19"/>
  <c r="G27" i="19"/>
  <c r="O10" i="19"/>
  <c r="U75" i="19"/>
  <c r="E83" i="19"/>
  <c r="T67" i="19"/>
  <c r="T62" i="19"/>
  <c r="T63" i="19"/>
  <c r="T65" i="19"/>
  <c r="T64" i="19"/>
  <c r="Q60" i="19"/>
  <c r="Q61" i="19" s="1"/>
  <c r="Q62" i="19" s="1"/>
  <c r="R64" i="19"/>
  <c r="R62" i="19"/>
  <c r="R63" i="19"/>
  <c r="R67" i="19"/>
  <c r="R65" i="19"/>
  <c r="M8" i="19"/>
  <c r="H25" i="19"/>
  <c r="I9" i="19"/>
  <c r="Q9" i="19"/>
  <c r="U24" i="19"/>
  <c r="Q24" i="19"/>
  <c r="F25" i="19"/>
  <c r="G25" i="19"/>
  <c r="H27" i="19"/>
  <c r="I8" i="19"/>
  <c r="I86" i="19"/>
  <c r="M9" i="19"/>
  <c r="G75" i="19"/>
  <c r="U9" i="19"/>
  <c r="P27" i="19"/>
  <c r="F26" i="19"/>
  <c r="M44" i="19"/>
  <c r="K57" i="19"/>
  <c r="M57" i="19" s="1"/>
  <c r="N61" i="19"/>
  <c r="N65" i="19" s="1"/>
  <c r="U83" i="19"/>
  <c r="S26" i="19"/>
  <c r="F35" i="19"/>
  <c r="F59" i="19" s="1"/>
  <c r="I59" i="19" s="1"/>
  <c r="U91" i="19"/>
  <c r="M59" i="19"/>
  <c r="I87" i="19"/>
  <c r="G39" i="19"/>
  <c r="N25" i="19"/>
  <c r="N26" i="19"/>
  <c r="F10" i="19"/>
  <c r="F27" i="19"/>
  <c r="F11" i="19"/>
  <c r="E53" i="19"/>
  <c r="I89" i="19"/>
  <c r="M72" i="19"/>
  <c r="M75" i="19" s="1"/>
  <c r="I88" i="19"/>
  <c r="G11" i="19"/>
  <c r="M30" i="19"/>
  <c r="I24" i="19"/>
  <c r="F60" i="19"/>
  <c r="F91" i="19"/>
  <c r="Q16" i="19"/>
  <c r="Q23" i="19" s="1"/>
  <c r="G60" i="19"/>
  <c r="M83" i="19"/>
  <c r="G91" i="19"/>
  <c r="U8" i="19"/>
  <c r="U23" i="19"/>
  <c r="R27" i="19"/>
  <c r="F53" i="19"/>
  <c r="G53" i="19"/>
  <c r="K53" i="19"/>
  <c r="Q83" i="19"/>
  <c r="M91" i="19"/>
  <c r="E60" i="19"/>
  <c r="E61" i="19" s="1"/>
  <c r="E62" i="19" s="1"/>
  <c r="E27" i="19"/>
  <c r="L8" i="19"/>
  <c r="L27" i="19" s="1"/>
  <c r="M24" i="19"/>
  <c r="H91" i="19"/>
  <c r="E90" i="19"/>
  <c r="I90" i="19" s="1"/>
  <c r="I23" i="19"/>
  <c r="I26" i="19" s="1"/>
  <c r="J25" i="19"/>
  <c r="K39" i="19"/>
  <c r="K60" i="19"/>
  <c r="L61" i="19"/>
  <c r="L63" i="19" s="1"/>
  <c r="N75" i="19"/>
  <c r="Q72" i="19"/>
  <c r="Q75" i="19" s="1"/>
  <c r="U61" i="19"/>
  <c r="U62" i="19" s="1"/>
  <c r="M6" i="19"/>
  <c r="I44" i="19"/>
  <c r="F57" i="19"/>
  <c r="I57" i="19" s="1"/>
  <c r="G58" i="19"/>
  <c r="H61" i="19"/>
  <c r="Q70" i="19"/>
  <c r="J75" i="19"/>
  <c r="R10" i="19"/>
  <c r="O23" i="19"/>
  <c r="E25" i="19"/>
  <c r="R25" i="19"/>
  <c r="K27" i="19"/>
  <c r="I47" i="19"/>
  <c r="S61" i="19"/>
  <c r="S65" i="19" s="1"/>
  <c r="L83" i="19"/>
  <c r="Q8" i="19"/>
  <c r="G10" i="19"/>
  <c r="S10" i="19"/>
  <c r="S27" i="19"/>
  <c r="E10" i="19"/>
  <c r="J27" i="19"/>
  <c r="H10" i="19"/>
  <c r="J50" i="19"/>
  <c r="J58" i="19"/>
  <c r="I72" i="19"/>
  <c r="I75" i="19" s="1"/>
  <c r="N11" i="19"/>
  <c r="M33" i="19"/>
  <c r="M22" i="19"/>
  <c r="M23" i="19" s="1"/>
  <c r="L53" i="19"/>
  <c r="O61" i="19"/>
  <c r="N27" i="19"/>
  <c r="J10" i="19"/>
  <c r="J36" i="19" s="1"/>
  <c r="J39" i="19" s="1"/>
  <c r="M47" i="19"/>
  <c r="R26" i="19"/>
  <c r="F49" i="5"/>
  <c r="F47" i="5"/>
  <c r="I46" i="5"/>
  <c r="U64" i="19" l="1"/>
  <c r="Q64" i="19"/>
  <c r="I25" i="19"/>
  <c r="F39" i="19"/>
  <c r="Q67" i="19"/>
  <c r="L65" i="19"/>
  <c r="U27" i="19"/>
  <c r="Q63" i="19"/>
  <c r="T66" i="19"/>
  <c r="S62" i="19"/>
  <c r="S67" i="19"/>
  <c r="S63" i="19"/>
  <c r="S64" i="19"/>
  <c r="U65" i="19"/>
  <c r="N63" i="19"/>
  <c r="N64" i="19"/>
  <c r="N62" i="19"/>
  <c r="N67" i="19"/>
  <c r="I10" i="19"/>
  <c r="I11" i="19"/>
  <c r="U63" i="19"/>
  <c r="K61" i="19"/>
  <c r="K63" i="19" s="1"/>
  <c r="R66" i="19"/>
  <c r="U67" i="19"/>
  <c r="O67" i="19"/>
  <c r="O64" i="19"/>
  <c r="O62" i="19"/>
  <c r="O63" i="19"/>
  <c r="O65" i="19"/>
  <c r="Q65" i="19"/>
  <c r="Q66" i="19" s="1"/>
  <c r="H62" i="19"/>
  <c r="H64" i="19"/>
  <c r="H63" i="19"/>
  <c r="H66" i="19"/>
  <c r="H65" i="19"/>
  <c r="H67" i="19"/>
  <c r="L64" i="19"/>
  <c r="I35" i="19"/>
  <c r="I39" i="19" s="1"/>
  <c r="E64" i="19"/>
  <c r="E67" i="19"/>
  <c r="I27" i="19"/>
  <c r="I60" i="19"/>
  <c r="E91" i="19"/>
  <c r="I91" i="19" s="1"/>
  <c r="M27" i="19"/>
  <c r="G61" i="19"/>
  <c r="G67" i="19" s="1"/>
  <c r="G63" i="19"/>
  <c r="F61" i="19"/>
  <c r="F62" i="19" s="1"/>
  <c r="E65" i="19"/>
  <c r="J53" i="19"/>
  <c r="M50" i="19"/>
  <c r="M53" i="19" s="1"/>
  <c r="J60" i="19"/>
  <c r="J61" i="19" s="1"/>
  <c r="M36" i="19"/>
  <c r="M39" i="19" s="1"/>
  <c r="I53" i="19"/>
  <c r="L62" i="19"/>
  <c r="L66" i="19"/>
  <c r="Q27" i="19"/>
  <c r="I58" i="19"/>
  <c r="M58" i="19"/>
  <c r="O27" i="19"/>
  <c r="O26" i="19"/>
  <c r="O25" i="19"/>
  <c r="K67" i="19"/>
  <c r="L67" i="19"/>
  <c r="E63" i="19"/>
  <c r="J17" i="2"/>
  <c r="D9" i="2" s="1"/>
  <c r="E29" i="2"/>
  <c r="J29" i="2"/>
  <c r="I29" i="2"/>
  <c r="G29" i="2"/>
  <c r="F29" i="2"/>
  <c r="D29" i="2"/>
  <c r="K123" i="2"/>
  <c r="I38" i="5"/>
  <c r="I37" i="5"/>
  <c r="I36" i="5"/>
  <c r="I41" i="5"/>
  <c r="I39" i="5"/>
  <c r="I40" i="5"/>
  <c r="I42" i="5"/>
  <c r="I43" i="5"/>
  <c r="H45" i="5"/>
  <c r="I26" i="5"/>
  <c r="I25" i="5"/>
  <c r="H30" i="5"/>
  <c r="H49" i="5" s="1"/>
  <c r="N66" i="19" l="1"/>
  <c r="S66" i="19"/>
  <c r="K66" i="19"/>
  <c r="U66" i="19"/>
  <c r="K64" i="19"/>
  <c r="K62" i="19"/>
  <c r="K65" i="19"/>
  <c r="O66" i="19"/>
  <c r="I61" i="19"/>
  <c r="I65" i="19" s="1"/>
  <c r="F66" i="19"/>
  <c r="F65" i="19"/>
  <c r="F64" i="19"/>
  <c r="F63" i="19"/>
  <c r="F67" i="19"/>
  <c r="J65" i="19"/>
  <c r="M60" i="19"/>
  <c r="M61" i="19" s="1"/>
  <c r="M63" i="19" s="1"/>
  <c r="J64" i="19"/>
  <c r="J62" i="19"/>
  <c r="E66" i="19"/>
  <c r="J63" i="19"/>
  <c r="G66" i="19"/>
  <c r="G65" i="19"/>
  <c r="G62" i="19"/>
  <c r="G64" i="19"/>
  <c r="J67" i="19"/>
  <c r="I66" i="19" l="1"/>
  <c r="I62" i="19"/>
  <c r="I67" i="19"/>
  <c r="I63" i="19"/>
  <c r="I64" i="19"/>
  <c r="M67" i="19"/>
  <c r="M66" i="19"/>
  <c r="M62" i="19"/>
  <c r="M64" i="19"/>
  <c r="J66" i="19"/>
  <c r="M65" i="19"/>
  <c r="F164" i="2" l="1"/>
  <c r="F77" i="2"/>
  <c r="F44" i="2"/>
  <c r="F34" i="2"/>
  <c r="F15" i="2"/>
  <c r="I80" i="2"/>
  <c r="I77" i="2"/>
  <c r="I34" i="2"/>
  <c r="I15" i="2"/>
  <c r="F55" i="2" l="1"/>
  <c r="F46" i="2"/>
  <c r="F41" i="2"/>
  <c r="F36" i="2"/>
  <c r="F24" i="2"/>
  <c r="F17" i="2"/>
  <c r="F65" i="2" s="1"/>
  <c r="I47" i="5"/>
  <c r="D9" i="11"/>
  <c r="G140" i="2"/>
  <c r="G141" i="2"/>
  <c r="F141" i="2"/>
  <c r="F140" i="2"/>
  <c r="I132" i="2"/>
  <c r="I131" i="2"/>
  <c r="G131" i="2"/>
  <c r="G132" i="2"/>
  <c r="F132" i="2"/>
  <c r="D132" i="2"/>
  <c r="F131" i="2"/>
  <c r="J7" i="4"/>
  <c r="I13" i="4"/>
  <c r="L11" i="9"/>
  <c r="L19" i="9"/>
  <c r="L18" i="9"/>
  <c r="L17" i="9"/>
  <c r="L16" i="9"/>
  <c r="L15" i="9"/>
  <c r="L13" i="9"/>
  <c r="G12" i="9"/>
  <c r="G35" i="4"/>
  <c r="D80" i="2"/>
  <c r="D82" i="2" s="1"/>
  <c r="G17" i="2"/>
  <c r="F28" i="2"/>
  <c r="F30" i="2" s="1"/>
  <c r="J63" i="9"/>
  <c r="J48" i="9" s="1"/>
  <c r="J62" i="9"/>
  <c r="J47" i="9" s="1"/>
  <c r="J61" i="9"/>
  <c r="J46" i="9" s="1"/>
  <c r="L14" i="9"/>
  <c r="L8" i="9"/>
  <c r="E109" i="2"/>
  <c r="G15" i="4"/>
  <c r="G10" i="4"/>
  <c r="F35" i="4"/>
  <c r="H20" i="4"/>
  <c r="D14" i="4"/>
  <c r="D13" i="4"/>
  <c r="J13" i="4" s="1"/>
  <c r="D9" i="4"/>
  <c r="J9" i="4" s="1"/>
  <c r="D8" i="4"/>
  <c r="D6" i="4"/>
  <c r="H164" i="2"/>
  <c r="H166" i="2" s="1"/>
  <c r="I164" i="2"/>
  <c r="I166" i="2" s="1"/>
  <c r="H77" i="2"/>
  <c r="I47" i="2"/>
  <c r="H47" i="2"/>
  <c r="H34" i="2"/>
  <c r="I10" i="4"/>
  <c r="I20" i="4"/>
  <c r="D34" i="4"/>
  <c r="E34" i="4"/>
  <c r="G93" i="9"/>
  <c r="F93" i="9"/>
  <c r="E93" i="9"/>
  <c r="D93" i="9"/>
  <c r="H93" i="9"/>
  <c r="K81" i="2"/>
  <c r="G175" i="2"/>
  <c r="G34" i="4"/>
  <c r="G26" i="4"/>
  <c r="G25" i="4"/>
  <c r="G19" i="4"/>
  <c r="G20" i="4"/>
  <c r="G21" i="4"/>
  <c r="G18" i="4"/>
  <c r="G46" i="9"/>
  <c r="AJ18" i="9"/>
  <c r="AJ16" i="9"/>
  <c r="AJ15" i="9"/>
  <c r="AB18" i="9"/>
  <c r="AB16" i="9"/>
  <c r="T18" i="9"/>
  <c r="T16" i="9"/>
  <c r="L32" i="9"/>
  <c r="L33" i="9"/>
  <c r="L34" i="9"/>
  <c r="F22" i="9"/>
  <c r="I83" i="2"/>
  <c r="E55" i="2"/>
  <c r="E46" i="2"/>
  <c r="F76" i="2"/>
  <c r="D164" i="2"/>
  <c r="D166" i="2" s="1"/>
  <c r="D77" i="2"/>
  <c r="D44" i="2"/>
  <c r="D46" i="2" s="1"/>
  <c r="I107" i="2"/>
  <c r="D15" i="2"/>
  <c r="I148" i="2"/>
  <c r="I76" i="2"/>
  <c r="I45" i="2"/>
  <c r="I44" i="2"/>
  <c r="J165" i="2"/>
  <c r="J164" i="2"/>
  <c r="J166" i="2" s="1"/>
  <c r="J45" i="2"/>
  <c r="J44" i="2"/>
  <c r="G128" i="2"/>
  <c r="E130" i="2"/>
  <c r="E127" i="2"/>
  <c r="E132" i="2" s="1"/>
  <c r="E126" i="2"/>
  <c r="E131" i="2" s="1"/>
  <c r="E138" i="2"/>
  <c r="E141" i="2" s="1"/>
  <c r="E137" i="2"/>
  <c r="E140" i="2" s="1"/>
  <c r="G166" i="2"/>
  <c r="E166" i="2"/>
  <c r="F166" i="2"/>
  <c r="E36" i="2"/>
  <c r="P21" i="9"/>
  <c r="F72" i="5"/>
  <c r="G72" i="5"/>
  <c r="G58" i="5"/>
  <c r="G40" i="6"/>
  <c r="G18" i="6"/>
  <c r="G7" i="6"/>
  <c r="G37" i="6"/>
  <c r="E17" i="2"/>
  <c r="E18" i="2" s="1"/>
  <c r="H183" i="2"/>
  <c r="G183" i="2"/>
  <c r="F183" i="2"/>
  <c r="E183" i="2"/>
  <c r="D183" i="2"/>
  <c r="I183" i="2"/>
  <c r="H29" i="2"/>
  <c r="G28" i="2"/>
  <c r="H28" i="2"/>
  <c r="I28" i="2"/>
  <c r="J28" i="2"/>
  <c r="J41" i="2"/>
  <c r="I41" i="2"/>
  <c r="H41" i="2"/>
  <c r="G41" i="2"/>
  <c r="E41" i="2"/>
  <c r="D41" i="2"/>
  <c r="G51" i="6"/>
  <c r="G53" i="6"/>
  <c r="E40" i="6"/>
  <c r="E18" i="6"/>
  <c r="E22" i="6"/>
  <c r="E8" i="6"/>
  <c r="E9" i="6" s="1"/>
  <c r="G29" i="5"/>
  <c r="E29" i="5"/>
  <c r="F29" i="5"/>
  <c r="G27" i="6"/>
  <c r="F27" i="6"/>
  <c r="E27" i="6"/>
  <c r="G60" i="5"/>
  <c r="F60" i="5"/>
  <c r="E60" i="5"/>
  <c r="G30" i="5"/>
  <c r="F30" i="5"/>
  <c r="E30" i="5"/>
  <c r="G49" i="5"/>
  <c r="E49" i="5"/>
  <c r="G47" i="5"/>
  <c r="F45" i="5"/>
  <c r="E45" i="5"/>
  <c r="E10" i="5"/>
  <c r="E11" i="5"/>
  <c r="E47" i="5"/>
  <c r="L12" i="9" l="1"/>
  <c r="I72" i="5"/>
  <c r="I60" i="5"/>
  <c r="D10" i="4"/>
  <c r="J8" i="4"/>
  <c r="D15" i="4"/>
  <c r="F167" i="2"/>
  <c r="F31" i="2"/>
  <c r="F54" i="3"/>
  <c r="D28" i="2"/>
  <c r="K15" i="2"/>
  <c r="D90" i="2"/>
  <c r="D89" i="2"/>
  <c r="D88" i="2"/>
  <c r="D87" i="2"/>
  <c r="E30" i="6"/>
  <c r="E64" i="2"/>
  <c r="E65" i="2"/>
  <c r="G18" i="2"/>
  <c r="D7" i="2"/>
  <c r="E63" i="2"/>
  <c r="F62" i="2"/>
  <c r="F63" i="2"/>
  <c r="I49" i="5"/>
  <c r="G22" i="4"/>
  <c r="E48" i="5"/>
  <c r="F48" i="5"/>
  <c r="F64" i="2"/>
  <c r="E31" i="5"/>
  <c r="J49" i="9"/>
  <c r="J52" i="9" s="1"/>
  <c r="J22" i="9"/>
  <c r="L10" i="9"/>
  <c r="K45" i="2"/>
  <c r="E62" i="2"/>
  <c r="G21" i="6"/>
  <c r="G54" i="6"/>
  <c r="F51" i="6"/>
  <c r="F54" i="6" s="1"/>
  <c r="G30" i="6"/>
  <c r="G9" i="6"/>
  <c r="G13" i="6" s="1"/>
  <c r="E51" i="5" l="1"/>
  <c r="K17" i="2"/>
  <c r="K18" i="2" s="1"/>
  <c r="K28" i="2"/>
  <c r="G23" i="6"/>
  <c r="G24" i="6" s="1"/>
  <c r="J50" i="9"/>
  <c r="J51" i="9"/>
  <c r="G10" i="6"/>
  <c r="E9" i="11"/>
  <c r="D22" i="11" l="1"/>
  <c r="E22" i="11"/>
  <c r="E38" i="11"/>
  <c r="E67" i="5"/>
  <c r="D38" i="11"/>
  <c r="E25" i="4" l="1"/>
  <c r="F25" i="4"/>
  <c r="H25" i="4"/>
  <c r="E26" i="4"/>
  <c r="F26" i="4"/>
  <c r="D26" i="4"/>
  <c r="D25" i="4"/>
  <c r="E18" i="4"/>
  <c r="F18" i="4"/>
  <c r="H18" i="4"/>
  <c r="E19" i="4"/>
  <c r="F19" i="4"/>
  <c r="H19" i="4"/>
  <c r="E20" i="4"/>
  <c r="F20" i="4"/>
  <c r="E21" i="4"/>
  <c r="F21" i="4"/>
  <c r="H21" i="4"/>
  <c r="D19" i="4"/>
  <c r="J19" i="4" s="1"/>
  <c r="D20" i="4"/>
  <c r="D21" i="4"/>
  <c r="D18" i="4"/>
  <c r="J20" i="4" l="1"/>
  <c r="J18" i="4"/>
  <c r="J21" i="4"/>
  <c r="K22" i="4"/>
  <c r="J68" i="5" l="1"/>
  <c r="E54" i="6"/>
  <c r="G46" i="3"/>
  <c r="F46" i="3"/>
  <c r="E46" i="3"/>
  <c r="D46" i="3"/>
  <c r="G31" i="6"/>
  <c r="G45" i="5"/>
  <c r="G32" i="5"/>
  <c r="G48" i="5" l="1"/>
  <c r="F33" i="4"/>
  <c r="F34" i="4"/>
  <c r="G33" i="5"/>
  <c r="F33" i="5"/>
  <c r="E33" i="5"/>
  <c r="F15" i="4"/>
  <c r="H70" i="3"/>
  <c r="H71" i="3"/>
  <c r="H72" i="3"/>
  <c r="H69" i="3"/>
  <c r="H59" i="3"/>
  <c r="H60" i="3"/>
  <c r="H61" i="3"/>
  <c r="H62" i="3"/>
  <c r="H63" i="3"/>
  <c r="H64" i="3"/>
  <c r="H58" i="3"/>
  <c r="F10" i="4"/>
  <c r="S6" i="6"/>
  <c r="N6" i="6"/>
  <c r="I66" i="5"/>
  <c r="AB15" i="9"/>
  <c r="AJ94" i="9"/>
  <c r="AB94" i="9"/>
  <c r="T94" i="9"/>
  <c r="L94" i="9"/>
  <c r="AJ93" i="9"/>
  <c r="AB93" i="9"/>
  <c r="T93" i="9"/>
  <c r="L93" i="9"/>
  <c r="AJ92" i="9"/>
  <c r="AB92" i="9"/>
  <c r="T92" i="9"/>
  <c r="L92" i="9"/>
  <c r="L89" i="9"/>
  <c r="L88" i="9"/>
  <c r="L87" i="9"/>
  <c r="L79" i="9"/>
  <c r="L78" i="9"/>
  <c r="L77" i="9"/>
  <c r="L73" i="9"/>
  <c r="L72" i="9"/>
  <c r="L71" i="9"/>
  <c r="L70" i="9"/>
  <c r="I48" i="9"/>
  <c r="H48" i="9"/>
  <c r="G48" i="9"/>
  <c r="F48" i="9"/>
  <c r="E48" i="9"/>
  <c r="D48" i="9"/>
  <c r="I47" i="9"/>
  <c r="H47" i="9"/>
  <c r="G47" i="9"/>
  <c r="F47" i="9"/>
  <c r="E47" i="9"/>
  <c r="D47" i="9"/>
  <c r="I46" i="9"/>
  <c r="H46" i="9"/>
  <c r="F46" i="9"/>
  <c r="E46" i="9"/>
  <c r="D46" i="9"/>
  <c r="N46" i="9"/>
  <c r="O46" i="9"/>
  <c r="P46" i="9"/>
  <c r="Q46" i="9"/>
  <c r="R46" i="9"/>
  <c r="N47" i="9"/>
  <c r="O47" i="9"/>
  <c r="P47" i="9"/>
  <c r="Q47" i="9"/>
  <c r="R47" i="9"/>
  <c r="N48" i="9"/>
  <c r="O48" i="9"/>
  <c r="P48" i="9"/>
  <c r="Q48" i="9"/>
  <c r="R48" i="9"/>
  <c r="M47" i="9"/>
  <c r="M48" i="9"/>
  <c r="M46" i="9"/>
  <c r="G51" i="5" l="1"/>
  <c r="G50" i="5"/>
  <c r="F30" i="6"/>
  <c r="F31" i="6"/>
  <c r="E31" i="6"/>
  <c r="J30" i="6"/>
  <c r="I61" i="6"/>
  <c r="S60" i="5"/>
  <c r="R60" i="5"/>
  <c r="O60" i="5"/>
  <c r="N60" i="5"/>
  <c r="K60" i="5"/>
  <c r="J60" i="5"/>
  <c r="S49" i="5"/>
  <c r="R49" i="5"/>
  <c r="O49" i="5"/>
  <c r="N49" i="5"/>
  <c r="K49" i="5"/>
  <c r="J49" i="5"/>
  <c r="S30" i="5"/>
  <c r="R30" i="5"/>
  <c r="O30" i="5"/>
  <c r="N30" i="5"/>
  <c r="K30" i="5"/>
  <c r="J30" i="5"/>
  <c r="U27" i="6"/>
  <c r="T27" i="6"/>
  <c r="P27" i="6"/>
  <c r="O27" i="6"/>
  <c r="K27" i="6"/>
  <c r="J27" i="6"/>
  <c r="N27" i="6" l="1"/>
  <c r="U60" i="5"/>
  <c r="X27" i="6"/>
  <c r="Q30" i="5"/>
  <c r="M60" i="5"/>
  <c r="M30" i="5"/>
  <c r="S27" i="6"/>
  <c r="M49" i="5"/>
  <c r="Q60" i="5"/>
  <c r="Q49" i="5"/>
  <c r="I27" i="6"/>
  <c r="I30" i="5"/>
  <c r="U30" i="5"/>
  <c r="U49" i="5"/>
  <c r="P39" i="3" l="1"/>
  <c r="L39" i="3"/>
  <c r="H39" i="3"/>
  <c r="L67" i="9"/>
  <c r="J64" i="9"/>
  <c r="L57" i="9"/>
  <c r="L42" i="9"/>
  <c r="L41" i="9"/>
  <c r="L31" i="9"/>
  <c r="L30" i="9"/>
  <c r="I31" i="6" s="1"/>
  <c r="I63" i="6"/>
  <c r="I62" i="6"/>
  <c r="I60" i="6"/>
  <c r="I57" i="6"/>
  <c r="I54" i="6"/>
  <c r="I53" i="6"/>
  <c r="I52" i="6"/>
  <c r="I51" i="6"/>
  <c r="F44" i="6"/>
  <c r="I41" i="6"/>
  <c r="G44" i="6"/>
  <c r="F40" i="6"/>
  <c r="F37" i="6"/>
  <c r="I36" i="6"/>
  <c r="I34" i="6"/>
  <c r="F23" i="6"/>
  <c r="F24" i="6" s="1"/>
  <c r="E23" i="6"/>
  <c r="I22" i="6"/>
  <c r="I21" i="6"/>
  <c r="I20" i="6"/>
  <c r="I19" i="6"/>
  <c r="I17" i="6"/>
  <c r="I14" i="6"/>
  <c r="F13" i="6"/>
  <c r="F9" i="6"/>
  <c r="F10" i="6" s="1"/>
  <c r="I8" i="6"/>
  <c r="I7" i="6"/>
  <c r="I6" i="6"/>
  <c r="I71" i="5"/>
  <c r="I70" i="5"/>
  <c r="I69" i="5"/>
  <c r="I68" i="5"/>
  <c r="I67" i="5"/>
  <c r="F58" i="5"/>
  <c r="E58" i="5"/>
  <c r="I57" i="5"/>
  <c r="I56" i="5"/>
  <c r="I55" i="5"/>
  <c r="I54" i="5"/>
  <c r="I53" i="5"/>
  <c r="I52" i="5"/>
  <c r="H47" i="5"/>
  <c r="I44" i="5"/>
  <c r="I45" i="5" s="1"/>
  <c r="H33" i="5"/>
  <c r="H29" i="5"/>
  <c r="H32" i="5" s="1"/>
  <c r="I28" i="5"/>
  <c r="I27" i="5"/>
  <c r="I24" i="5"/>
  <c r="I23" i="5"/>
  <c r="I22" i="5"/>
  <c r="I21" i="5"/>
  <c r="I17" i="5"/>
  <c r="I16" i="5"/>
  <c r="I15" i="5"/>
  <c r="I14" i="5"/>
  <c r="I13" i="5"/>
  <c r="I12" i="5"/>
  <c r="I11" i="5"/>
  <c r="I10" i="5"/>
  <c r="I9" i="5"/>
  <c r="I8" i="5"/>
  <c r="I7" i="5"/>
  <c r="F47" i="4"/>
  <c r="F41" i="4"/>
  <c r="M41" i="4"/>
  <c r="L41" i="4"/>
  <c r="K41" i="4"/>
  <c r="G41" i="4"/>
  <c r="E41" i="4"/>
  <c r="D41" i="4"/>
  <c r="G47" i="4"/>
  <c r="E47" i="4"/>
  <c r="J46" i="4"/>
  <c r="J45" i="4"/>
  <c r="J44" i="4"/>
  <c r="J40" i="4"/>
  <c r="J39" i="4"/>
  <c r="J36" i="4"/>
  <c r="G33" i="4"/>
  <c r="E33" i="4"/>
  <c r="D33" i="4"/>
  <c r="I26" i="4"/>
  <c r="I25" i="4"/>
  <c r="J25" i="4" s="1"/>
  <c r="I22" i="4"/>
  <c r="I15" i="4"/>
  <c r="K20" i="9" s="1"/>
  <c r="H10" i="4"/>
  <c r="H14" i="4" s="1"/>
  <c r="E10" i="4"/>
  <c r="J6" i="4"/>
  <c r="M6" i="4"/>
  <c r="M7" i="4"/>
  <c r="M8" i="4"/>
  <c r="N8" i="4"/>
  <c r="M9" i="4"/>
  <c r="N9" i="4"/>
  <c r="F48" i="3"/>
  <c r="F47" i="3"/>
  <c r="F45" i="3"/>
  <c r="F33" i="3"/>
  <c r="F32" i="3"/>
  <c r="F31" i="3"/>
  <c r="F30" i="3"/>
  <c r="F18" i="3"/>
  <c r="F17" i="3"/>
  <c r="F16" i="3"/>
  <c r="F15" i="3"/>
  <c r="G48" i="3"/>
  <c r="E48" i="3"/>
  <c r="D48" i="3"/>
  <c r="G45" i="3"/>
  <c r="G47" i="3"/>
  <c r="E47" i="3"/>
  <c r="D47" i="3"/>
  <c r="G33" i="3"/>
  <c r="E33" i="3"/>
  <c r="D33" i="3"/>
  <c r="G32" i="3"/>
  <c r="E32" i="3"/>
  <c r="D32" i="3"/>
  <c r="G31" i="3"/>
  <c r="E31" i="3"/>
  <c r="D31" i="3"/>
  <c r="G30" i="3"/>
  <c r="E30" i="3"/>
  <c r="D30" i="3"/>
  <c r="H29" i="3"/>
  <c r="H28" i="3"/>
  <c r="H27" i="3"/>
  <c r="H26" i="3"/>
  <c r="H25" i="3"/>
  <c r="H24" i="3"/>
  <c r="H23" i="3"/>
  <c r="H22" i="3"/>
  <c r="H21" i="3"/>
  <c r="G18" i="3"/>
  <c r="E18" i="3"/>
  <c r="D18" i="3"/>
  <c r="G17" i="3"/>
  <c r="E17" i="3"/>
  <c r="D17" i="3"/>
  <c r="G16" i="3"/>
  <c r="E16" i="3"/>
  <c r="D16" i="3"/>
  <c r="G15" i="3"/>
  <c r="E15" i="3"/>
  <c r="D15" i="3"/>
  <c r="H14" i="3"/>
  <c r="H13" i="3"/>
  <c r="H12" i="3"/>
  <c r="H11" i="3"/>
  <c r="H10" i="3"/>
  <c r="H9" i="3"/>
  <c r="H8" i="3"/>
  <c r="H7" i="3"/>
  <c r="H6" i="3"/>
  <c r="H36" i="3" s="1"/>
  <c r="I48" i="5" l="1"/>
  <c r="I50" i="5" s="1"/>
  <c r="H26" i="4"/>
  <c r="J26" i="4" s="1"/>
  <c r="J14" i="4"/>
  <c r="H15" i="4"/>
  <c r="H37" i="3"/>
  <c r="H16" i="3"/>
  <c r="J34" i="4"/>
  <c r="E28" i="6"/>
  <c r="E24" i="6"/>
  <c r="H31" i="5"/>
  <c r="F29" i="6"/>
  <c r="E32" i="5"/>
  <c r="G31" i="5"/>
  <c r="E29" i="6"/>
  <c r="F32" i="5"/>
  <c r="F31" i="5"/>
  <c r="F49" i="9"/>
  <c r="F52" i="9" s="1"/>
  <c r="I9" i="6"/>
  <c r="F59" i="5"/>
  <c r="G59" i="5"/>
  <c r="G62" i="5" s="1"/>
  <c r="J41" i="4"/>
  <c r="J58" i="9"/>
  <c r="G49" i="9"/>
  <c r="G52" i="9" s="1"/>
  <c r="L62" i="9"/>
  <c r="E49" i="9"/>
  <c r="E50" i="9" s="1"/>
  <c r="L63" i="9"/>
  <c r="F27" i="4"/>
  <c r="L56" i="9"/>
  <c r="L48" i="9"/>
  <c r="L61" i="9"/>
  <c r="D49" i="9"/>
  <c r="D50" i="9" s="1"/>
  <c r="H49" i="9"/>
  <c r="H52" i="9" s="1"/>
  <c r="L47" i="9"/>
  <c r="I49" i="9"/>
  <c r="L55" i="9"/>
  <c r="L46" i="9"/>
  <c r="D27" i="4"/>
  <c r="F22" i="4"/>
  <c r="I10" i="6"/>
  <c r="I18" i="6"/>
  <c r="I23" i="6" s="1"/>
  <c r="I24" i="6" s="1"/>
  <c r="E13" i="6"/>
  <c r="I13" i="6" s="1"/>
  <c r="E59" i="5"/>
  <c r="I58" i="5"/>
  <c r="I59" i="5" s="1"/>
  <c r="H48" i="5"/>
  <c r="I29" i="5"/>
  <c r="I32" i="5" s="1"/>
  <c r="I27" i="4"/>
  <c r="J47" i="4"/>
  <c r="J33" i="4"/>
  <c r="D22" i="4"/>
  <c r="E22" i="4"/>
  <c r="J15" i="4"/>
  <c r="J10" i="4"/>
  <c r="I22" i="9"/>
  <c r="H22" i="4"/>
  <c r="H20" i="9" s="1"/>
  <c r="E27" i="4"/>
  <c r="E15" i="4"/>
  <c r="H32" i="3"/>
  <c r="H43" i="3"/>
  <c r="H45" i="3" s="1"/>
  <c r="H41" i="3"/>
  <c r="H18" i="3"/>
  <c r="H33" i="3"/>
  <c r="H17" i="3"/>
  <c r="H30" i="3"/>
  <c r="H44" i="3"/>
  <c r="H15" i="3"/>
  <c r="E45" i="3"/>
  <c r="H31" i="3"/>
  <c r="H38" i="3"/>
  <c r="H40" i="3"/>
  <c r="H42" i="3"/>
  <c r="G161" i="2"/>
  <c r="G155" i="2"/>
  <c r="G148" i="2"/>
  <c r="G147" i="2"/>
  <c r="G139" i="2"/>
  <c r="G142" i="2" s="1"/>
  <c r="G109" i="2"/>
  <c r="G97" i="2"/>
  <c r="G82" i="2"/>
  <c r="G89" i="2" s="1"/>
  <c r="G55" i="2"/>
  <c r="G46" i="2"/>
  <c r="G36" i="2"/>
  <c r="G30" i="2"/>
  <c r="G24" i="2"/>
  <c r="G25" i="2" s="1"/>
  <c r="K182" i="2"/>
  <c r="K181" i="2"/>
  <c r="K180" i="2"/>
  <c r="K179" i="2"/>
  <c r="K178" i="2"/>
  <c r="I175" i="2"/>
  <c r="F175" i="2"/>
  <c r="E175" i="2"/>
  <c r="K174" i="2"/>
  <c r="K173" i="2"/>
  <c r="K172" i="2"/>
  <c r="K165" i="2"/>
  <c r="K164" i="2"/>
  <c r="I161" i="2"/>
  <c r="F161" i="2"/>
  <c r="E161" i="2"/>
  <c r="D161" i="2"/>
  <c r="K160" i="2"/>
  <c r="I155" i="2"/>
  <c r="F155" i="2"/>
  <c r="K154" i="2"/>
  <c r="E155" i="2"/>
  <c r="D155" i="2"/>
  <c r="K152" i="2"/>
  <c r="D139" i="2"/>
  <c r="K138" i="2"/>
  <c r="K137" i="2"/>
  <c r="K130" i="2"/>
  <c r="K129" i="2"/>
  <c r="I128" i="2"/>
  <c r="K127" i="2"/>
  <c r="D128" i="2"/>
  <c r="K126" i="2"/>
  <c r="K121" i="2"/>
  <c r="K116" i="2"/>
  <c r="K115" i="2"/>
  <c r="K114" i="2"/>
  <c r="K113" i="2"/>
  <c r="K112" i="2"/>
  <c r="K111" i="2"/>
  <c r="K110" i="2"/>
  <c r="J109" i="2"/>
  <c r="H109" i="2"/>
  <c r="D109" i="2"/>
  <c r="K108" i="2"/>
  <c r="I109" i="2"/>
  <c r="F109" i="2"/>
  <c r="K104" i="2"/>
  <c r="K103" i="2"/>
  <c r="K102" i="2"/>
  <c r="K101" i="2"/>
  <c r="K100" i="2"/>
  <c r="K99" i="2"/>
  <c r="K98" i="2"/>
  <c r="J97" i="2"/>
  <c r="I97" i="2"/>
  <c r="H97" i="2"/>
  <c r="F97" i="2"/>
  <c r="E97" i="2"/>
  <c r="D97" i="2"/>
  <c r="K96" i="2"/>
  <c r="K95" i="2"/>
  <c r="K85" i="2"/>
  <c r="K84" i="2"/>
  <c r="K83" i="2"/>
  <c r="J82" i="2"/>
  <c r="I82" i="2"/>
  <c r="H82" i="2"/>
  <c r="H87" i="2" s="1"/>
  <c r="F82" i="2"/>
  <c r="E82" i="2"/>
  <c r="E90" i="2" s="1"/>
  <c r="K80" i="2"/>
  <c r="K82" i="2" s="1"/>
  <c r="K90" i="2" s="1"/>
  <c r="K77" i="2"/>
  <c r="K76" i="2"/>
  <c r="K75" i="2"/>
  <c r="K59" i="2"/>
  <c r="K58" i="2"/>
  <c r="K57" i="2"/>
  <c r="K56" i="2"/>
  <c r="J55" i="2"/>
  <c r="I55" i="2"/>
  <c r="I68" i="2" s="1"/>
  <c r="H55" i="2"/>
  <c r="H68" i="2" s="1"/>
  <c r="E68" i="2"/>
  <c r="D68" i="2"/>
  <c r="K54" i="2"/>
  <c r="K53" i="2"/>
  <c r="K50" i="2"/>
  <c r="K49" i="2"/>
  <c r="K48" i="2"/>
  <c r="K47" i="2"/>
  <c r="H46" i="2"/>
  <c r="I46" i="2"/>
  <c r="K40" i="2"/>
  <c r="K39" i="2"/>
  <c r="J36" i="2"/>
  <c r="D36" i="2"/>
  <c r="K35" i="2"/>
  <c r="K34" i="2"/>
  <c r="I36" i="2"/>
  <c r="H36" i="2"/>
  <c r="J30" i="2"/>
  <c r="J31" i="2" s="1"/>
  <c r="I30" i="2"/>
  <c r="I31" i="2" s="1"/>
  <c r="J24" i="2"/>
  <c r="I24" i="2"/>
  <c r="I25" i="2" s="1"/>
  <c r="H24" i="2"/>
  <c r="F25" i="2"/>
  <c r="E24" i="2"/>
  <c r="E25" i="2" s="1"/>
  <c r="D24" i="2"/>
  <c r="D25" i="2" s="1"/>
  <c r="J18" i="2"/>
  <c r="E184" i="2"/>
  <c r="I17" i="2"/>
  <c r="I18" i="2" s="1"/>
  <c r="H30" i="2"/>
  <c r="H31" i="2" s="1"/>
  <c r="D17" i="2"/>
  <c r="H27" i="4" l="1"/>
  <c r="J117" i="2"/>
  <c r="K132" i="2"/>
  <c r="H21" i="9"/>
  <c r="H22" i="9" s="1"/>
  <c r="E61" i="5"/>
  <c r="I61" i="5"/>
  <c r="I62" i="5"/>
  <c r="H50" i="5"/>
  <c r="I51" i="5"/>
  <c r="G117" i="2"/>
  <c r="K65" i="2"/>
  <c r="D63" i="2"/>
  <c r="D65" i="2"/>
  <c r="D64" i="2"/>
  <c r="D62" i="2"/>
  <c r="D184" i="2"/>
  <c r="D167" i="2"/>
  <c r="K175" i="2"/>
  <c r="I133" i="2"/>
  <c r="G31" i="2"/>
  <c r="G54" i="3"/>
  <c r="K131" i="2"/>
  <c r="D142" i="2"/>
  <c r="D149" i="2"/>
  <c r="D133" i="2"/>
  <c r="G123" i="2"/>
  <c r="G133" i="2"/>
  <c r="G20" i="9"/>
  <c r="E20" i="9"/>
  <c r="D20" i="9"/>
  <c r="H51" i="5"/>
  <c r="I33" i="5"/>
  <c r="I31" i="5"/>
  <c r="F61" i="5"/>
  <c r="I29" i="6"/>
  <c r="I28" i="6"/>
  <c r="F90" i="2"/>
  <c r="F88" i="2"/>
  <c r="J22" i="4"/>
  <c r="J118" i="2"/>
  <c r="I146" i="2"/>
  <c r="I149" i="2"/>
  <c r="F68" i="2"/>
  <c r="K55" i="2"/>
  <c r="G146" i="2"/>
  <c r="J87" i="2"/>
  <c r="J88" i="2"/>
  <c r="J90" i="2"/>
  <c r="J89" i="2"/>
  <c r="J63" i="2"/>
  <c r="J64" i="2"/>
  <c r="J62" i="2"/>
  <c r="J65" i="2"/>
  <c r="I65" i="2"/>
  <c r="I64" i="2"/>
  <c r="I62" i="2"/>
  <c r="I63" i="2"/>
  <c r="D18" i="2"/>
  <c r="G71" i="2"/>
  <c r="G184" i="2"/>
  <c r="G63" i="2"/>
  <c r="G64" i="2"/>
  <c r="G65" i="2"/>
  <c r="G62" i="2"/>
  <c r="K183" i="2"/>
  <c r="K184" i="2" s="1"/>
  <c r="K41" i="2"/>
  <c r="I88" i="2"/>
  <c r="I89" i="2"/>
  <c r="G29" i="6"/>
  <c r="G28" i="6"/>
  <c r="H46" i="3"/>
  <c r="G61" i="5"/>
  <c r="E62" i="5"/>
  <c r="F51" i="5"/>
  <c r="F50" i="5"/>
  <c r="F62" i="5"/>
  <c r="E50" i="5"/>
  <c r="F51" i="9"/>
  <c r="F50" i="9"/>
  <c r="H48" i="3"/>
  <c r="H47" i="3"/>
  <c r="E51" i="9"/>
  <c r="K97" i="2"/>
  <c r="D72" i="2"/>
  <c r="K36" i="2"/>
  <c r="F89" i="2"/>
  <c r="G72" i="2"/>
  <c r="G68" i="2"/>
  <c r="G167" i="2"/>
  <c r="E52" i="9"/>
  <c r="G51" i="9"/>
  <c r="G50" i="9"/>
  <c r="L58" i="9"/>
  <c r="H50" i="9"/>
  <c r="L64" i="9"/>
  <c r="I50" i="9"/>
  <c r="I52" i="9"/>
  <c r="I51" i="9"/>
  <c r="H51" i="9"/>
  <c r="L49" i="9"/>
  <c r="D51" i="9"/>
  <c r="D52" i="9"/>
  <c r="E37" i="6"/>
  <c r="I37" i="6" s="1"/>
  <c r="I35" i="6"/>
  <c r="G149" i="2"/>
  <c r="G90" i="2"/>
  <c r="G87" i="2"/>
  <c r="G88" i="2"/>
  <c r="J71" i="2"/>
  <c r="J167" i="2"/>
  <c r="I87" i="2"/>
  <c r="E88" i="2"/>
  <c r="K86" i="2"/>
  <c r="E30" i="2"/>
  <c r="E167" i="2"/>
  <c r="E71" i="2"/>
  <c r="E72" i="2"/>
  <c r="I71" i="2"/>
  <c r="I184" i="2"/>
  <c r="I167" i="2"/>
  <c r="K148" i="2"/>
  <c r="K141" i="2"/>
  <c r="K166" i="2"/>
  <c r="K147" i="2"/>
  <c r="K139" i="2"/>
  <c r="K140" i="2"/>
  <c r="I72" i="2"/>
  <c r="K128" i="2"/>
  <c r="D71" i="2"/>
  <c r="J68" i="2"/>
  <c r="E89" i="2"/>
  <c r="I90" i="2"/>
  <c r="K107" i="2"/>
  <c r="K109" i="2" s="1"/>
  <c r="E139" i="2"/>
  <c r="E142" i="2" s="1"/>
  <c r="E147" i="2"/>
  <c r="F18" i="2"/>
  <c r="H17" i="2"/>
  <c r="H18" i="2" s="1"/>
  <c r="J46" i="2"/>
  <c r="H90" i="2"/>
  <c r="K44" i="2"/>
  <c r="F139" i="2"/>
  <c r="F142" i="2" s="1"/>
  <c r="F147" i="2"/>
  <c r="E128" i="2"/>
  <c r="E133" i="2" s="1"/>
  <c r="E148" i="2"/>
  <c r="H88" i="2"/>
  <c r="F128" i="2"/>
  <c r="F133" i="2" s="1"/>
  <c r="D146" i="2"/>
  <c r="F148" i="2"/>
  <c r="K153" i="2"/>
  <c r="K155" i="2" s="1"/>
  <c r="E87" i="2"/>
  <c r="H89" i="2"/>
  <c r="F87" i="2"/>
  <c r="Q165" i="2"/>
  <c r="Q164" i="2"/>
  <c r="Q29" i="2"/>
  <c r="X55" i="3"/>
  <c r="W55" i="3"/>
  <c r="V55" i="3"/>
  <c r="U55" i="3"/>
  <c r="S55" i="3"/>
  <c r="R55" i="3"/>
  <c r="Q55" i="3"/>
  <c r="O55" i="3"/>
  <c r="N55" i="3"/>
  <c r="M55" i="3"/>
  <c r="X54" i="3"/>
  <c r="W54" i="3"/>
  <c r="V54" i="3"/>
  <c r="U54" i="3"/>
  <c r="S54" i="3"/>
  <c r="R54" i="3"/>
  <c r="Q54" i="3"/>
  <c r="O54" i="3"/>
  <c r="N54" i="3"/>
  <c r="M54" i="3"/>
  <c r="G21" i="9" l="1"/>
  <c r="G22" i="9" s="1"/>
  <c r="D21" i="9"/>
  <c r="D22" i="9" s="1"/>
  <c r="E21" i="9"/>
  <c r="E22" i="9" s="1"/>
  <c r="K117" i="2"/>
  <c r="K118" i="2" s="1"/>
  <c r="E31" i="2"/>
  <c r="E54" i="3"/>
  <c r="D6" i="2"/>
  <c r="D10" i="2" s="1"/>
  <c r="L20" i="9"/>
  <c r="L21" i="9" s="1"/>
  <c r="L22" i="9" s="1"/>
  <c r="L52" i="9"/>
  <c r="K87" i="2"/>
  <c r="K146" i="2"/>
  <c r="J72" i="2"/>
  <c r="K46" i="2"/>
  <c r="K149" i="2"/>
  <c r="H167" i="2"/>
  <c r="H64" i="2"/>
  <c r="H63" i="2"/>
  <c r="H65" i="2"/>
  <c r="H62" i="2"/>
  <c r="K88" i="2"/>
  <c r="K89" i="2"/>
  <c r="K68" i="2"/>
  <c r="L50" i="9"/>
  <c r="L51" i="9"/>
  <c r="E44" i="6"/>
  <c r="I44" i="6" s="1"/>
  <c r="I40" i="6"/>
  <c r="J27" i="4"/>
  <c r="G27" i="4"/>
  <c r="H71" i="2"/>
  <c r="F184" i="2"/>
  <c r="E149" i="2"/>
  <c r="E146" i="2"/>
  <c r="K29" i="2"/>
  <c r="K30" i="2" s="1"/>
  <c r="K31" i="2" s="1"/>
  <c r="F146" i="2"/>
  <c r="F149" i="2"/>
  <c r="D30" i="2"/>
  <c r="F72" i="2"/>
  <c r="K133" i="2"/>
  <c r="F71" i="2"/>
  <c r="H72" i="2"/>
  <c r="H184" i="2"/>
  <c r="K142" i="2"/>
  <c r="D31" i="2" l="1"/>
  <c r="D54" i="3"/>
  <c r="K167" i="2"/>
  <c r="K62" i="2"/>
  <c r="K64" i="2"/>
  <c r="K63" i="2"/>
  <c r="H54" i="3"/>
  <c r="K71" i="2"/>
  <c r="K72" i="2"/>
  <c r="X35" i="6"/>
  <c r="T37" i="6"/>
  <c r="AJ67" i="9" l="1"/>
  <c r="AB67" i="9"/>
  <c r="T67" i="9"/>
  <c r="AH64" i="9"/>
  <c r="AG64" i="9"/>
  <c r="AF64" i="9"/>
  <c r="AE64" i="9"/>
  <c r="AD64" i="9"/>
  <c r="AC64" i="9"/>
  <c r="AJ63" i="9"/>
  <c r="Y63" i="9"/>
  <c r="X63" i="9"/>
  <c r="X48" i="9" s="1"/>
  <c r="V63" i="9"/>
  <c r="U63" i="9"/>
  <c r="AJ62" i="9"/>
  <c r="Z62" i="9"/>
  <c r="Y62" i="9"/>
  <c r="X62" i="9"/>
  <c r="W62" i="9"/>
  <c r="V62" i="9"/>
  <c r="U62" i="9"/>
  <c r="AJ61" i="9"/>
  <c r="Z61" i="9"/>
  <c r="Y61" i="9"/>
  <c r="X61" i="9"/>
  <c r="W61" i="9"/>
  <c r="W46" i="9" s="1"/>
  <c r="V61" i="9"/>
  <c r="U61" i="9"/>
  <c r="Q64" i="9"/>
  <c r="AH58" i="9"/>
  <c r="AG58" i="9"/>
  <c r="AF58" i="9"/>
  <c r="AE58" i="9"/>
  <c r="AD58" i="9"/>
  <c r="AC58" i="9"/>
  <c r="AJ57" i="9"/>
  <c r="Y57" i="9"/>
  <c r="V57" i="9"/>
  <c r="U57" i="9"/>
  <c r="AJ56" i="9"/>
  <c r="Z56" i="9"/>
  <c r="Y56" i="9"/>
  <c r="X56" i="9"/>
  <c r="W56" i="9"/>
  <c r="W58" i="9" s="1"/>
  <c r="V56" i="9"/>
  <c r="U56" i="9"/>
  <c r="AJ55" i="9"/>
  <c r="Z55" i="9"/>
  <c r="Y55" i="9"/>
  <c r="X55" i="9"/>
  <c r="V55" i="9"/>
  <c r="U55" i="9"/>
  <c r="AH48" i="9"/>
  <c r="AG48" i="9"/>
  <c r="AF48" i="9"/>
  <c r="AE48" i="9"/>
  <c r="AD48" i="9"/>
  <c r="AC48" i="9"/>
  <c r="Z48" i="9"/>
  <c r="W48" i="9"/>
  <c r="AH47" i="9"/>
  <c r="AG47" i="9"/>
  <c r="AF47" i="9"/>
  <c r="AE47" i="9"/>
  <c r="AD47" i="9"/>
  <c r="AC47" i="9"/>
  <c r="Q49" i="9"/>
  <c r="Q52" i="9" s="1"/>
  <c r="AH46" i="9"/>
  <c r="AG46" i="9"/>
  <c r="AF46" i="9"/>
  <c r="AE46" i="9"/>
  <c r="AD46" i="9"/>
  <c r="AC46" i="9"/>
  <c r="AJ42" i="9"/>
  <c r="AB42" i="9"/>
  <c r="T42" i="9"/>
  <c r="AJ41" i="9"/>
  <c r="AB41" i="9"/>
  <c r="T41" i="9"/>
  <c r="AI21" i="9"/>
  <c r="AI22" i="9" s="1"/>
  <c r="AH21" i="9"/>
  <c r="AH22" i="9" s="1"/>
  <c r="Z21" i="9"/>
  <c r="Z22" i="9" s="1"/>
  <c r="Y21" i="9"/>
  <c r="Y22" i="9" s="1"/>
  <c r="X21" i="9"/>
  <c r="X22" i="9" s="1"/>
  <c r="W21" i="9"/>
  <c r="W22" i="9" s="1"/>
  <c r="V21" i="9"/>
  <c r="V22" i="9" s="1"/>
  <c r="U21" i="9"/>
  <c r="U22" i="9" s="1"/>
  <c r="AJ19" i="9"/>
  <c r="AB19" i="9"/>
  <c r="AJ13" i="9"/>
  <c r="AB13" i="9"/>
  <c r="O21" i="9"/>
  <c r="O22" i="9" s="1"/>
  <c r="AJ12" i="9"/>
  <c r="AA12" i="9"/>
  <c r="AB12" i="9" s="1"/>
  <c r="AJ11" i="9"/>
  <c r="AA11" i="9"/>
  <c r="AJ10" i="9"/>
  <c r="AB10" i="9"/>
  <c r="AJ8" i="9"/>
  <c r="AB8" i="9"/>
  <c r="AJ35" i="9"/>
  <c r="AB35" i="9"/>
  <c r="N35" i="9"/>
  <c r="M35" i="9"/>
  <c r="AJ31" i="9"/>
  <c r="AB31" i="9"/>
  <c r="T31" i="9"/>
  <c r="AJ30" i="9"/>
  <c r="AB30" i="9"/>
  <c r="T30" i="9"/>
  <c r="AJ29" i="9"/>
  <c r="AB29" i="9"/>
  <c r="T29" i="9"/>
  <c r="AI195" i="8"/>
  <c r="AH195" i="8"/>
  <c r="AG195" i="8"/>
  <c r="AE195" i="8"/>
  <c r="AE196" i="8" s="1"/>
  <c r="AE198" i="8" s="1"/>
  <c r="AD195" i="8"/>
  <c r="AC195" i="8"/>
  <c r="AB195" i="8"/>
  <c r="Z195" i="8"/>
  <c r="Z196" i="8" s="1"/>
  <c r="Z198" i="8" s="1"/>
  <c r="Y195" i="8"/>
  <c r="X195" i="8"/>
  <c r="W195" i="8"/>
  <c r="V195" i="8"/>
  <c r="V196" i="8" s="1"/>
  <c r="V198" i="8" s="1"/>
  <c r="S195" i="8"/>
  <c r="S196" i="8" s="1"/>
  <c r="R195" i="8"/>
  <c r="Q195" i="8"/>
  <c r="P195" i="8"/>
  <c r="O195" i="8"/>
  <c r="AJ194" i="8"/>
  <c r="AB194" i="8"/>
  <c r="U194" i="8"/>
  <c r="N194" i="8"/>
  <c r="AJ193" i="8"/>
  <c r="AJ195" i="8" s="1"/>
  <c r="AB193" i="8"/>
  <c r="U193" i="8"/>
  <c r="U195" i="8" s="1"/>
  <c r="N193" i="8"/>
  <c r="N195" i="8" s="1"/>
  <c r="AJ192" i="8"/>
  <c r="AB192" i="8"/>
  <c r="U192" i="8"/>
  <c r="N192" i="8"/>
  <c r="AJ191" i="8"/>
  <c r="AB191" i="8"/>
  <c r="U191" i="8"/>
  <c r="N191" i="8"/>
  <c r="AJ190" i="8"/>
  <c r="AB190" i="8"/>
  <c r="N190" i="8"/>
  <c r="AI187" i="8"/>
  <c r="AH187" i="8"/>
  <c r="AG187" i="8"/>
  <c r="AF187" i="8"/>
  <c r="AE187" i="8"/>
  <c r="AD187" i="8"/>
  <c r="AC187" i="8"/>
  <c r="AA187" i="8"/>
  <c r="Y187" i="8"/>
  <c r="X187" i="8"/>
  <c r="W187" i="8"/>
  <c r="V187" i="8"/>
  <c r="T187" i="8"/>
  <c r="S187" i="8"/>
  <c r="R187" i="8"/>
  <c r="Q187" i="8"/>
  <c r="P187" i="8"/>
  <c r="O187" i="8"/>
  <c r="M187" i="8"/>
  <c r="K187" i="8"/>
  <c r="I187" i="8"/>
  <c r="H187" i="8"/>
  <c r="G187" i="8"/>
  <c r="AB186" i="8"/>
  <c r="AB187" i="8" s="1"/>
  <c r="U186" i="8"/>
  <c r="U187" i="8" s="1"/>
  <c r="N186" i="8"/>
  <c r="N187" i="8" s="1"/>
  <c r="AJ185" i="8"/>
  <c r="AB185" i="8"/>
  <c r="U185" i="8"/>
  <c r="N185" i="8"/>
  <c r="AJ184" i="8"/>
  <c r="AJ187" i="8" s="1"/>
  <c r="AB184" i="8"/>
  <c r="U184" i="8"/>
  <c r="N184" i="8"/>
  <c r="AI179" i="8"/>
  <c r="AH179" i="8"/>
  <c r="AH180" i="8" s="1"/>
  <c r="AG179" i="8"/>
  <c r="AF179" i="8"/>
  <c r="AE179" i="8"/>
  <c r="AD179" i="8"/>
  <c r="AD180" i="8" s="1"/>
  <c r="AC179" i="8"/>
  <c r="Z179" i="8"/>
  <c r="U179" i="8"/>
  <c r="S179" i="8"/>
  <c r="R179" i="8"/>
  <c r="Q179" i="8"/>
  <c r="P179" i="8"/>
  <c r="O179" i="8"/>
  <c r="M179" i="8"/>
  <c r="M180" i="8" s="1"/>
  <c r="K179" i="8"/>
  <c r="J179" i="8"/>
  <c r="I179" i="8"/>
  <c r="I180" i="8" s="1"/>
  <c r="H179" i="8"/>
  <c r="G179" i="8"/>
  <c r="AJ178" i="8"/>
  <c r="AA178" i="8"/>
  <c r="Y178" i="8"/>
  <c r="X178" i="8"/>
  <c r="W178" i="8"/>
  <c r="V178" i="8"/>
  <c r="T178" i="8"/>
  <c r="U178" i="8" s="1"/>
  <c r="M178" i="8"/>
  <c r="N178" i="8" s="1"/>
  <c r="AJ177" i="8"/>
  <c r="AJ179" i="8" s="1"/>
  <c r="Y177" i="8"/>
  <c r="Y179" i="8" s="1"/>
  <c r="X177" i="8"/>
  <c r="X179" i="8" s="1"/>
  <c r="W177" i="8"/>
  <c r="W179" i="8" s="1"/>
  <c r="V177" i="8"/>
  <c r="V179" i="8" s="1"/>
  <c r="V180" i="8" s="1"/>
  <c r="U177" i="8"/>
  <c r="T177" i="8"/>
  <c r="T179" i="8" s="1"/>
  <c r="M177" i="8"/>
  <c r="N177" i="8" s="1"/>
  <c r="N179" i="8" s="1"/>
  <c r="AI174" i="8"/>
  <c r="AH174" i="8"/>
  <c r="AG174" i="8"/>
  <c r="AE174" i="8"/>
  <c r="Z174" i="8"/>
  <c r="Y174" i="8"/>
  <c r="X174" i="8"/>
  <c r="W174" i="8"/>
  <c r="V174" i="8"/>
  <c r="S174" i="8"/>
  <c r="R174" i="8"/>
  <c r="Q174" i="8"/>
  <c r="P174" i="8"/>
  <c r="O174" i="8"/>
  <c r="N174" i="8"/>
  <c r="AB173" i="8"/>
  <c r="V173" i="8"/>
  <c r="S173" i="8"/>
  <c r="U173" i="8" s="1"/>
  <c r="N173" i="8"/>
  <c r="AB172" i="8"/>
  <c r="U172" i="8"/>
  <c r="N172" i="8"/>
  <c r="N169" i="8"/>
  <c r="N168" i="8"/>
  <c r="N167" i="8"/>
  <c r="AJ156" i="8"/>
  <c r="AJ174" i="8" s="1"/>
  <c r="AI156" i="8"/>
  <c r="AH156" i="8"/>
  <c r="AG156" i="8"/>
  <c r="AF156" i="8"/>
  <c r="AE156" i="8"/>
  <c r="AD156" i="8"/>
  <c r="AC156" i="8"/>
  <c r="Z156" i="8"/>
  <c r="Y156" i="8"/>
  <c r="W156" i="8"/>
  <c r="V156" i="8"/>
  <c r="S156" i="8"/>
  <c r="M156" i="8"/>
  <c r="L156" i="8"/>
  <c r="K156" i="8"/>
  <c r="J156" i="8"/>
  <c r="I156" i="8"/>
  <c r="H156" i="8"/>
  <c r="G156" i="8"/>
  <c r="AB155" i="8"/>
  <c r="S155" i="8"/>
  <c r="R155" i="8"/>
  <c r="R156" i="8" s="1"/>
  <c r="Q155" i="8"/>
  <c r="P155" i="8"/>
  <c r="O155" i="8"/>
  <c r="N155" i="8"/>
  <c r="AC154" i="8"/>
  <c r="X154" i="8"/>
  <c r="X156" i="8" s="1"/>
  <c r="U154" i="8"/>
  <c r="Q154" i="8"/>
  <c r="O154" i="8"/>
  <c r="N154" i="8"/>
  <c r="N156" i="8" s="1"/>
  <c r="V153" i="8"/>
  <c r="AB153" i="8" s="1"/>
  <c r="Q153" i="8"/>
  <c r="Q156" i="8" s="1"/>
  <c r="P153" i="8"/>
  <c r="P156" i="8" s="1"/>
  <c r="O153" i="8"/>
  <c r="O156" i="8" s="1"/>
  <c r="N153" i="8"/>
  <c r="AI150" i="8"/>
  <c r="L150" i="8"/>
  <c r="AI149" i="8"/>
  <c r="AH149" i="8"/>
  <c r="AG149" i="8"/>
  <c r="AF149" i="8"/>
  <c r="AE149" i="8"/>
  <c r="AD149" i="8"/>
  <c r="AC149" i="8"/>
  <c r="Y149" i="8"/>
  <c r="W149" i="8"/>
  <c r="I149" i="8"/>
  <c r="H149" i="8"/>
  <c r="G149" i="8"/>
  <c r="AI148" i="8"/>
  <c r="AH148" i="8"/>
  <c r="AG148" i="8"/>
  <c r="AF148" i="8"/>
  <c r="AE148" i="8"/>
  <c r="AD148" i="8"/>
  <c r="AC148" i="8"/>
  <c r="Y148" i="8"/>
  <c r="I148" i="8"/>
  <c r="H148" i="8"/>
  <c r="G148" i="8"/>
  <c r="AH147" i="8"/>
  <c r="AF147" i="8"/>
  <c r="Z147" i="8"/>
  <c r="Y147" i="8"/>
  <c r="L147" i="8"/>
  <c r="AI142" i="8"/>
  <c r="AH142" i="8"/>
  <c r="AG142" i="8"/>
  <c r="AF142" i="8"/>
  <c r="AE142" i="8"/>
  <c r="AD142" i="8"/>
  <c r="AC142" i="8"/>
  <c r="W142" i="8"/>
  <c r="I142" i="8"/>
  <c r="H142" i="8"/>
  <c r="G142" i="8"/>
  <c r="AI141" i="8"/>
  <c r="AH141" i="8"/>
  <c r="AG141" i="8"/>
  <c r="AF141" i="8"/>
  <c r="AE141" i="8"/>
  <c r="AD141" i="8"/>
  <c r="AC141" i="8"/>
  <c r="I141" i="8"/>
  <c r="H141" i="8"/>
  <c r="G141" i="8"/>
  <c r="AJ140" i="8"/>
  <c r="AI140" i="8"/>
  <c r="AH140" i="8"/>
  <c r="AG140" i="8"/>
  <c r="AF140" i="8"/>
  <c r="AE140" i="8"/>
  <c r="AD140" i="8"/>
  <c r="AD147" i="8" s="1"/>
  <c r="AC140" i="8"/>
  <c r="W140" i="8"/>
  <c r="N140" i="8"/>
  <c r="AJ139" i="8"/>
  <c r="AB139" i="8"/>
  <c r="X139" i="8"/>
  <c r="X142" i="8" s="1"/>
  <c r="W139" i="8"/>
  <c r="V139" i="8"/>
  <c r="Q139" i="8"/>
  <c r="P139" i="8"/>
  <c r="O139" i="8"/>
  <c r="N139" i="8"/>
  <c r="AJ138" i="8"/>
  <c r="X138" i="8"/>
  <c r="W138" i="8"/>
  <c r="W141" i="8" s="1"/>
  <c r="V138" i="8"/>
  <c r="Q138" i="8"/>
  <c r="Q141" i="8" s="1"/>
  <c r="P138" i="8"/>
  <c r="O138" i="8"/>
  <c r="O141" i="8" s="1"/>
  <c r="N138" i="8"/>
  <c r="N135" i="8"/>
  <c r="N134" i="8"/>
  <c r="N133" i="8"/>
  <c r="N132" i="8"/>
  <c r="N131" i="8"/>
  <c r="N130" i="8"/>
  <c r="N129" i="8"/>
  <c r="N128" i="8"/>
  <c r="AF124" i="8"/>
  <c r="T124" i="8"/>
  <c r="S124" i="8"/>
  <c r="L124" i="8"/>
  <c r="K124" i="8"/>
  <c r="I124" i="8"/>
  <c r="H124" i="8"/>
  <c r="G124" i="8"/>
  <c r="AI123" i="8"/>
  <c r="AH123" i="8"/>
  <c r="AG123" i="8"/>
  <c r="AF123" i="8"/>
  <c r="AE123" i="8"/>
  <c r="AD123" i="8"/>
  <c r="AC123" i="8"/>
  <c r="Y123" i="8"/>
  <c r="T123" i="8"/>
  <c r="R123" i="8"/>
  <c r="L123" i="8"/>
  <c r="K123" i="8"/>
  <c r="I123" i="8"/>
  <c r="H123" i="8"/>
  <c r="G123" i="8"/>
  <c r="AI122" i="8"/>
  <c r="AH122" i="8"/>
  <c r="AG122" i="8"/>
  <c r="AF122" i="8"/>
  <c r="AE122" i="8"/>
  <c r="AD122" i="8"/>
  <c r="AC122" i="8"/>
  <c r="Y122" i="8"/>
  <c r="L122" i="8"/>
  <c r="Y121" i="8"/>
  <c r="AB121" i="8" s="1"/>
  <c r="X121" i="8"/>
  <c r="W121" i="8"/>
  <c r="V121" i="8"/>
  <c r="S121" i="8"/>
  <c r="R121" i="8"/>
  <c r="Q121" i="8"/>
  <c r="P121" i="8"/>
  <c r="O121" i="8"/>
  <c r="U121" i="8" s="1"/>
  <c r="N121" i="8"/>
  <c r="X120" i="8"/>
  <c r="W120" i="8"/>
  <c r="AB120" i="8" s="1"/>
  <c r="V120" i="8"/>
  <c r="Q120" i="8"/>
  <c r="P120" i="8"/>
  <c r="O120" i="8"/>
  <c r="U120" i="8" s="1"/>
  <c r="N120" i="8"/>
  <c r="AI119" i="8"/>
  <c r="AH119" i="8"/>
  <c r="AG119" i="8"/>
  <c r="AF119" i="8"/>
  <c r="AE119" i="8"/>
  <c r="AE124" i="8" s="1"/>
  <c r="AD119" i="8"/>
  <c r="AD173" i="8" s="1"/>
  <c r="AC119" i="8"/>
  <c r="AA119" i="8"/>
  <c r="Y119" i="8"/>
  <c r="X119" i="8"/>
  <c r="X124" i="8" s="1"/>
  <c r="K119" i="8"/>
  <c r="K122" i="8" s="1"/>
  <c r="I119" i="8"/>
  <c r="H119" i="8"/>
  <c r="H147" i="8" s="1"/>
  <c r="G119" i="8"/>
  <c r="AJ118" i="8"/>
  <c r="X118" i="8"/>
  <c r="W118" i="8"/>
  <c r="W123" i="8" s="1"/>
  <c r="V118" i="8"/>
  <c r="S118" i="8"/>
  <c r="S149" i="8" s="1"/>
  <c r="R118" i="8"/>
  <c r="Q118" i="8"/>
  <c r="Q124" i="8" s="1"/>
  <c r="P118" i="8"/>
  <c r="P124" i="8" s="1"/>
  <c r="O118" i="8"/>
  <c r="O124" i="8" s="1"/>
  <c r="N118" i="8"/>
  <c r="AJ117" i="8"/>
  <c r="X117" i="8"/>
  <c r="X122" i="8" s="1"/>
  <c r="W117" i="8"/>
  <c r="V117" i="8"/>
  <c r="V122" i="8" s="1"/>
  <c r="S117" i="8"/>
  <c r="R117" i="8"/>
  <c r="R148" i="8" s="1"/>
  <c r="Q117" i="8"/>
  <c r="P117" i="8"/>
  <c r="P119" i="8" s="1"/>
  <c r="O117" i="8"/>
  <c r="N117" i="8"/>
  <c r="AJ114" i="8"/>
  <c r="AJ113" i="8" s="1"/>
  <c r="AI114" i="8"/>
  <c r="AH114" i="8"/>
  <c r="AG114" i="8"/>
  <c r="AF114" i="8"/>
  <c r="AI113" i="8"/>
  <c r="AH113" i="8"/>
  <c r="AG113" i="8"/>
  <c r="AF113" i="8"/>
  <c r="V113" i="8"/>
  <c r="V114" i="8" s="1"/>
  <c r="R113" i="8"/>
  <c r="R114" i="8" s="1"/>
  <c r="K113" i="8"/>
  <c r="K114" i="8" s="1"/>
  <c r="J113" i="8"/>
  <c r="J114" i="8" s="1"/>
  <c r="AJ112" i="8"/>
  <c r="AB112" i="8"/>
  <c r="X112" i="8"/>
  <c r="U112" i="8"/>
  <c r="N112" i="8"/>
  <c r="AI109" i="8"/>
  <c r="AH109" i="8"/>
  <c r="AG109" i="8"/>
  <c r="V109" i="8"/>
  <c r="T109" i="8"/>
  <c r="L109" i="8"/>
  <c r="AJ108" i="8"/>
  <c r="AB108" i="8"/>
  <c r="U108" i="8"/>
  <c r="N108" i="8"/>
  <c r="AJ107" i="8"/>
  <c r="Z107" i="8"/>
  <c r="AB107" i="8" s="1"/>
  <c r="U107" i="8"/>
  <c r="N107" i="8"/>
  <c r="AJ106" i="8"/>
  <c r="AB106" i="8"/>
  <c r="Z106" i="8"/>
  <c r="U106" i="8"/>
  <c r="N106" i="8"/>
  <c r="AJ105" i="8"/>
  <c r="Z105" i="8"/>
  <c r="AB105" i="8" s="1"/>
  <c r="U105" i="8"/>
  <c r="N105" i="8"/>
  <c r="AJ104" i="8"/>
  <c r="AB104" i="8"/>
  <c r="R104" i="8"/>
  <c r="U104" i="8" s="1"/>
  <c r="N104" i="8"/>
  <c r="AJ103" i="8"/>
  <c r="Z103" i="8"/>
  <c r="Y103" i="8"/>
  <c r="X103" i="8"/>
  <c r="W103" i="8"/>
  <c r="V103" i="8"/>
  <c r="R103" i="8"/>
  <c r="U103" i="8" s="1"/>
  <c r="N103" i="8"/>
  <c r="AJ102" i="8"/>
  <c r="AB102" i="8"/>
  <c r="U102" i="8"/>
  <c r="R102" i="8"/>
  <c r="N102" i="8"/>
  <c r="AJ101" i="8"/>
  <c r="Z101" i="8"/>
  <c r="Y101" i="8"/>
  <c r="X101" i="8"/>
  <c r="X109" i="8" s="1"/>
  <c r="W101" i="8"/>
  <c r="V101" i="8"/>
  <c r="T101" i="8"/>
  <c r="S101" i="8"/>
  <c r="R101" i="8"/>
  <c r="R109" i="8" s="1"/>
  <c r="Q101" i="8"/>
  <c r="P101" i="8"/>
  <c r="O101" i="8"/>
  <c r="O109" i="8" s="1"/>
  <c r="N101" i="8"/>
  <c r="M101" i="8"/>
  <c r="L101" i="8"/>
  <c r="K101" i="8"/>
  <c r="J101" i="8"/>
  <c r="J109" i="8" s="1"/>
  <c r="I101" i="8"/>
  <c r="I109" i="8" s="1"/>
  <c r="H101" i="8"/>
  <c r="G101" i="8"/>
  <c r="G109" i="8" s="1"/>
  <c r="AB100" i="8"/>
  <c r="AA100" i="8"/>
  <c r="Z100" i="8"/>
  <c r="U100" i="8"/>
  <c r="N100" i="8"/>
  <c r="AB99" i="8"/>
  <c r="AB101" i="8" s="1"/>
  <c r="AA99" i="8"/>
  <c r="AA101" i="8" s="1"/>
  <c r="Z99" i="8"/>
  <c r="U99" i="8"/>
  <c r="U101" i="8" s="1"/>
  <c r="R99" i="8"/>
  <c r="Q99" i="8"/>
  <c r="N99" i="8"/>
  <c r="AJ96" i="8"/>
  <c r="AB96" i="8"/>
  <c r="U96" i="8"/>
  <c r="N96" i="8"/>
  <c r="AJ95" i="8"/>
  <c r="Z95" i="8"/>
  <c r="AB95" i="8" s="1"/>
  <c r="U95" i="8"/>
  <c r="N95" i="8"/>
  <c r="AJ94" i="8"/>
  <c r="AB94" i="8"/>
  <c r="Z94" i="8"/>
  <c r="U94" i="8"/>
  <c r="N94" i="8"/>
  <c r="AJ93" i="8"/>
  <c r="Z93" i="8"/>
  <c r="AB93" i="8" s="1"/>
  <c r="U93" i="8"/>
  <c r="N93" i="8"/>
  <c r="AJ92" i="8"/>
  <c r="AB92" i="8"/>
  <c r="W92" i="8"/>
  <c r="U92" i="8"/>
  <c r="N92" i="8"/>
  <c r="AJ91" i="8"/>
  <c r="AB91" i="8"/>
  <c r="U91" i="8"/>
  <c r="N91" i="8"/>
  <c r="AJ90" i="8"/>
  <c r="AB90" i="8"/>
  <c r="U90" i="8"/>
  <c r="N90" i="8"/>
  <c r="AJ89" i="8"/>
  <c r="AA89" i="8"/>
  <c r="Y89" i="8"/>
  <c r="X89" i="8"/>
  <c r="W89" i="8"/>
  <c r="V89" i="8"/>
  <c r="T89" i="8"/>
  <c r="S89" i="8"/>
  <c r="R89" i="8"/>
  <c r="Q89" i="8"/>
  <c r="P89" i="8"/>
  <c r="O89" i="8"/>
  <c r="M89" i="8"/>
  <c r="L89" i="8"/>
  <c r="K89" i="8"/>
  <c r="J89" i="8"/>
  <c r="I89" i="8"/>
  <c r="H89" i="8"/>
  <c r="G89" i="8"/>
  <c r="Z88" i="8"/>
  <c r="AB88" i="8" s="1"/>
  <c r="U88" i="8"/>
  <c r="U89" i="8" s="1"/>
  <c r="N88" i="8"/>
  <c r="Z87" i="8"/>
  <c r="W87" i="8"/>
  <c r="U87" i="8"/>
  <c r="N87" i="8"/>
  <c r="N89" i="8" s="1"/>
  <c r="AJ83" i="8"/>
  <c r="AB83" i="8"/>
  <c r="U83" i="8"/>
  <c r="N83" i="8"/>
  <c r="AF82" i="8"/>
  <c r="AE82" i="8"/>
  <c r="AD82" i="8"/>
  <c r="X82" i="8"/>
  <c r="V82" i="8"/>
  <c r="T82" i="8"/>
  <c r="P82" i="8"/>
  <c r="N82" i="8"/>
  <c r="L82" i="8"/>
  <c r="H82" i="8"/>
  <c r="G82" i="8"/>
  <c r="AD81" i="8"/>
  <c r="AC81" i="8"/>
  <c r="Z81" i="8"/>
  <c r="V81" i="8"/>
  <c r="T81" i="8"/>
  <c r="M81" i="8"/>
  <c r="L81" i="8"/>
  <c r="AI80" i="8"/>
  <c r="AF80" i="8"/>
  <c r="AD80" i="8"/>
  <c r="X80" i="8"/>
  <c r="V80" i="8"/>
  <c r="T80" i="8"/>
  <c r="P80" i="8"/>
  <c r="L80" i="8"/>
  <c r="J80" i="8"/>
  <c r="H80" i="8"/>
  <c r="AF79" i="8"/>
  <c r="AD79" i="8"/>
  <c r="Z79" i="8"/>
  <c r="Y79" i="8"/>
  <c r="X79" i="8"/>
  <c r="V79" i="8"/>
  <c r="P79" i="8"/>
  <c r="J79" i="8"/>
  <c r="H79" i="8"/>
  <c r="AJ78" i="8"/>
  <c r="AJ81" i="8" s="1"/>
  <c r="AB78" i="8"/>
  <c r="U78" i="8"/>
  <c r="N78" i="8"/>
  <c r="AJ77" i="8"/>
  <c r="AJ80" i="8" s="1"/>
  <c r="AB77" i="8"/>
  <c r="Z77" i="8"/>
  <c r="Z80" i="8" s="1"/>
  <c r="U77" i="8"/>
  <c r="N77" i="8"/>
  <c r="N80" i="8" s="1"/>
  <c r="AJ76" i="8"/>
  <c r="Z76" i="8"/>
  <c r="AB76" i="8" s="1"/>
  <c r="U76" i="8"/>
  <c r="N76" i="8"/>
  <c r="N79" i="8" s="1"/>
  <c r="AJ75" i="8"/>
  <c r="Z75" i="8"/>
  <c r="AB75" i="8" s="1"/>
  <c r="U75" i="8"/>
  <c r="N75" i="8"/>
  <c r="AI74" i="8"/>
  <c r="AH74" i="8"/>
  <c r="AH82" i="8" s="1"/>
  <c r="AG74" i="8"/>
  <c r="AF74" i="8"/>
  <c r="AF81" i="8" s="1"/>
  <c r="AE74" i="8"/>
  <c r="AD74" i="8"/>
  <c r="AC74" i="8"/>
  <c r="AC79" i="8" s="1"/>
  <c r="AA74" i="8"/>
  <c r="Z74" i="8"/>
  <c r="Y74" i="8"/>
  <c r="X74" i="8"/>
  <c r="X81" i="8" s="1"/>
  <c r="W74" i="8"/>
  <c r="V74" i="8"/>
  <c r="T74" i="8"/>
  <c r="T79" i="8" s="1"/>
  <c r="S74" i="8"/>
  <c r="R74" i="8"/>
  <c r="P74" i="8"/>
  <c r="P81" i="8" s="1"/>
  <c r="M74" i="8"/>
  <c r="M79" i="8" s="1"/>
  <c r="L74" i="8"/>
  <c r="L79" i="8" s="1"/>
  <c r="K74" i="8"/>
  <c r="J74" i="8"/>
  <c r="I74" i="8"/>
  <c r="H74" i="8"/>
  <c r="H81" i="8" s="1"/>
  <c r="G74" i="8"/>
  <c r="AJ73" i="8"/>
  <c r="Z73" i="8"/>
  <c r="Z82" i="8" s="1"/>
  <c r="U73" i="8"/>
  <c r="N73" i="8"/>
  <c r="AJ72" i="8"/>
  <c r="AJ74" i="8" s="1"/>
  <c r="AJ82" i="8" s="1"/>
  <c r="AA72" i="8"/>
  <c r="AB72" i="8" s="1"/>
  <c r="Z72" i="8"/>
  <c r="S72" i="8"/>
  <c r="R72" i="8"/>
  <c r="Q72" i="8"/>
  <c r="Q74" i="8" s="1"/>
  <c r="O72" i="8"/>
  <c r="N72" i="8"/>
  <c r="N74" i="8" s="1"/>
  <c r="N81" i="8" s="1"/>
  <c r="AB68" i="8"/>
  <c r="X68" i="8"/>
  <c r="S68" i="8"/>
  <c r="R68" i="8"/>
  <c r="Q68" i="8"/>
  <c r="O68" i="8"/>
  <c r="U68" i="8" s="1"/>
  <c r="N68" i="8"/>
  <c r="AF67" i="8"/>
  <c r="AE67" i="8"/>
  <c r="AB67" i="8"/>
  <c r="X67" i="8"/>
  <c r="R67" i="8"/>
  <c r="Q67" i="8"/>
  <c r="U67" i="8" s="1"/>
  <c r="N67" i="8"/>
  <c r="AH66" i="8"/>
  <c r="AB66" i="8"/>
  <c r="U66" i="8"/>
  <c r="N66" i="8"/>
  <c r="AH63" i="8"/>
  <c r="AG63" i="8"/>
  <c r="AF63" i="8"/>
  <c r="AC63" i="8"/>
  <c r="X63" i="8"/>
  <c r="W63" i="8"/>
  <c r="R63" i="8"/>
  <c r="L63" i="8"/>
  <c r="J63" i="8"/>
  <c r="I63" i="8"/>
  <c r="AC60" i="8"/>
  <c r="W60" i="8"/>
  <c r="V60" i="8"/>
  <c r="S60" i="8"/>
  <c r="AH59" i="8"/>
  <c r="AG59" i="8"/>
  <c r="AD59" i="8"/>
  <c r="AC59" i="8"/>
  <c r="T59" i="8"/>
  <c r="K59" i="8"/>
  <c r="J59" i="8"/>
  <c r="AH56" i="8"/>
  <c r="AE56" i="8"/>
  <c r="Z56" i="8"/>
  <c r="W56" i="8"/>
  <c r="V56" i="8"/>
  <c r="O56" i="8"/>
  <c r="N56" i="8"/>
  <c r="M56" i="8"/>
  <c r="AH55" i="8"/>
  <c r="X55" i="8"/>
  <c r="W55" i="8"/>
  <c r="S55" i="8"/>
  <c r="R55" i="8"/>
  <c r="O55" i="8"/>
  <c r="AH54" i="8"/>
  <c r="AG54" i="8"/>
  <c r="R54" i="8"/>
  <c r="O54" i="8"/>
  <c r="I54" i="8"/>
  <c r="AJ53" i="8"/>
  <c r="AD53" i="8"/>
  <c r="AC53" i="8"/>
  <c r="AJ50" i="8"/>
  <c r="AJ56" i="8" s="1"/>
  <c r="AB50" i="8"/>
  <c r="U50" i="8"/>
  <c r="N50" i="8"/>
  <c r="AJ49" i="8"/>
  <c r="Z49" i="8"/>
  <c r="U49" i="8"/>
  <c r="N49" i="8"/>
  <c r="N55" i="8" s="1"/>
  <c r="AJ48" i="8"/>
  <c r="AJ54" i="8" s="1"/>
  <c r="Z48" i="8"/>
  <c r="AB48" i="8" s="1"/>
  <c r="U48" i="8"/>
  <c r="N48" i="8"/>
  <c r="AJ47" i="8"/>
  <c r="Z47" i="8"/>
  <c r="U47" i="8"/>
  <c r="N47" i="8"/>
  <c r="AI46" i="8"/>
  <c r="AI63" i="8" s="1"/>
  <c r="AH46" i="8"/>
  <c r="AG46" i="8"/>
  <c r="AF46" i="8"/>
  <c r="AF59" i="8" s="1"/>
  <c r="AE46" i="8"/>
  <c r="AD46" i="8"/>
  <c r="AD63" i="8" s="1"/>
  <c r="AC46" i="8"/>
  <c r="AA46" i="8"/>
  <c r="AA63" i="8" s="1"/>
  <c r="Y46" i="8"/>
  <c r="X46" i="8"/>
  <c r="X59" i="8" s="1"/>
  <c r="W46" i="8"/>
  <c r="W59" i="8" s="1"/>
  <c r="V46" i="8"/>
  <c r="T46" i="8"/>
  <c r="T63" i="8" s="1"/>
  <c r="R46" i="8"/>
  <c r="Q46" i="8"/>
  <c r="P46" i="8"/>
  <c r="P63" i="8" s="1"/>
  <c r="O46" i="8"/>
  <c r="O59" i="8" s="1"/>
  <c r="M46" i="8"/>
  <c r="M59" i="8" s="1"/>
  <c r="K46" i="8"/>
  <c r="K63" i="8" s="1"/>
  <c r="J46" i="8"/>
  <c r="I46" i="8"/>
  <c r="H46" i="8"/>
  <c r="G46" i="8"/>
  <c r="AJ45" i="8"/>
  <c r="Z45" i="8"/>
  <c r="AB45" i="8" s="1"/>
  <c r="S45" i="8"/>
  <c r="U45" i="8" s="1"/>
  <c r="N45" i="8"/>
  <c r="AJ44" i="8"/>
  <c r="AJ46" i="8" s="1"/>
  <c r="AB44" i="8"/>
  <c r="Z44" i="8"/>
  <c r="U44" i="8"/>
  <c r="U46" i="8" s="1"/>
  <c r="N44" i="8"/>
  <c r="N46" i="8" s="1"/>
  <c r="N59" i="8" s="1"/>
  <c r="AJ41" i="8"/>
  <c r="AB41" i="8"/>
  <c r="U41" i="8"/>
  <c r="N41" i="8"/>
  <c r="AJ40" i="8"/>
  <c r="Z40" i="8"/>
  <c r="AB40" i="8" s="1"/>
  <c r="U40" i="8"/>
  <c r="N40" i="8"/>
  <c r="AJ39" i="8"/>
  <c r="Z39" i="8"/>
  <c r="AB39" i="8" s="1"/>
  <c r="U39" i="8"/>
  <c r="N39" i="8"/>
  <c r="AJ38" i="8"/>
  <c r="AB38" i="8"/>
  <c r="U38" i="8"/>
  <c r="U53" i="8" s="1"/>
  <c r="N38" i="8"/>
  <c r="AI37" i="8"/>
  <c r="AH37" i="8"/>
  <c r="AH60" i="8" s="1"/>
  <c r="AG37" i="8"/>
  <c r="AF37" i="8"/>
  <c r="AE37" i="8"/>
  <c r="AE60" i="8" s="1"/>
  <c r="AD37" i="8"/>
  <c r="AD60" i="8" s="1"/>
  <c r="AC37" i="8"/>
  <c r="Z37" i="8"/>
  <c r="Z60" i="8" s="1"/>
  <c r="Y37" i="8"/>
  <c r="Y60" i="8" s="1"/>
  <c r="X37" i="8"/>
  <c r="W37" i="8"/>
  <c r="V37" i="8"/>
  <c r="T37" i="8"/>
  <c r="R37" i="8"/>
  <c r="R60" i="8" s="1"/>
  <c r="P37" i="8"/>
  <c r="O37" i="8"/>
  <c r="O60" i="8" s="1"/>
  <c r="K37" i="8"/>
  <c r="J37" i="8"/>
  <c r="I37" i="8"/>
  <c r="I60" i="8" s="1"/>
  <c r="H37" i="8"/>
  <c r="H60" i="8" s="1"/>
  <c r="G37" i="8"/>
  <c r="AJ36" i="8"/>
  <c r="AB36" i="8"/>
  <c r="AA36" i="8"/>
  <c r="Z36" i="8"/>
  <c r="U36" i="8"/>
  <c r="N36" i="8"/>
  <c r="M36" i="8"/>
  <c r="AJ35" i="8"/>
  <c r="AJ37" i="8" s="1"/>
  <c r="AJ60" i="8" s="1"/>
  <c r="Z35" i="8"/>
  <c r="S35" i="8"/>
  <c r="S37" i="8" s="1"/>
  <c r="R35" i="8"/>
  <c r="Q35" i="8"/>
  <c r="Q37" i="8" s="1"/>
  <c r="Q60" i="8" s="1"/>
  <c r="O35" i="8"/>
  <c r="N35" i="8"/>
  <c r="M35" i="8"/>
  <c r="AI32" i="8"/>
  <c r="AI143" i="8" s="1"/>
  <c r="AH32" i="8"/>
  <c r="AG32" i="8"/>
  <c r="AG143" i="8" s="1"/>
  <c r="AF32" i="8"/>
  <c r="AE32" i="8"/>
  <c r="AD32" i="8"/>
  <c r="AC32" i="8"/>
  <c r="AA32" i="8"/>
  <c r="Z32" i="8"/>
  <c r="Y32" i="8"/>
  <c r="X32" i="8"/>
  <c r="W32" i="8"/>
  <c r="V32" i="8"/>
  <c r="T32" i="8"/>
  <c r="S32" i="8"/>
  <c r="R32" i="8"/>
  <c r="Q32" i="8"/>
  <c r="P32" i="8"/>
  <c r="O32" i="8"/>
  <c r="N32" i="8"/>
  <c r="K32" i="8"/>
  <c r="J32" i="8"/>
  <c r="I32" i="8"/>
  <c r="I143" i="8" s="1"/>
  <c r="H32" i="8"/>
  <c r="H143" i="8" s="1"/>
  <c r="G32" i="8"/>
  <c r="G143" i="8" s="1"/>
  <c r="AJ31" i="8"/>
  <c r="AJ142" i="8" s="1"/>
  <c r="AB31" i="8"/>
  <c r="U31" i="8"/>
  <c r="U32" i="8" s="1"/>
  <c r="N31" i="8"/>
  <c r="N142" i="8" s="1"/>
  <c r="AJ30" i="8"/>
  <c r="AJ141" i="8" s="1"/>
  <c r="AB30" i="8"/>
  <c r="AB32" i="8" s="1"/>
  <c r="U30" i="8"/>
  <c r="N30" i="8"/>
  <c r="AE27" i="8"/>
  <c r="AD27" i="8"/>
  <c r="AD109" i="8" s="1"/>
  <c r="AC27" i="8"/>
  <c r="Y27" i="8"/>
  <c r="X27" i="8"/>
  <c r="X113" i="8" s="1"/>
  <c r="X114" i="8" s="1"/>
  <c r="W27" i="8"/>
  <c r="W113" i="8" s="1"/>
  <c r="W114" i="8" s="1"/>
  <c r="V27" i="8"/>
  <c r="U27" i="8"/>
  <c r="U113" i="8" s="1"/>
  <c r="U114" i="8" s="1"/>
  <c r="T27" i="8"/>
  <c r="T122" i="8" s="1"/>
  <c r="S27" i="8"/>
  <c r="S113" i="8" s="1"/>
  <c r="S114" i="8" s="1"/>
  <c r="R27" i="8"/>
  <c r="Q27" i="8"/>
  <c r="Q113" i="8" s="1"/>
  <c r="Q114" i="8" s="1"/>
  <c r="P27" i="8"/>
  <c r="P113" i="8" s="1"/>
  <c r="P114" i="8" s="1"/>
  <c r="O27" i="8"/>
  <c r="O113" i="8" s="1"/>
  <c r="O114" i="8" s="1"/>
  <c r="M27" i="8"/>
  <c r="M109" i="8" s="1"/>
  <c r="K27" i="8"/>
  <c r="J27" i="8"/>
  <c r="I27" i="8"/>
  <c r="I113" i="8" s="1"/>
  <c r="I114" i="8" s="1"/>
  <c r="H27" i="8"/>
  <c r="H122" i="8" s="1"/>
  <c r="G27" i="8"/>
  <c r="G113" i="8" s="1"/>
  <c r="G114" i="8" s="1"/>
  <c r="AJ26" i="8"/>
  <c r="AA26" i="8"/>
  <c r="AB26" i="8" s="1"/>
  <c r="Z26" i="8"/>
  <c r="X26" i="8"/>
  <c r="X123" i="8" s="1"/>
  <c r="U26" i="8"/>
  <c r="N26" i="8"/>
  <c r="AJ25" i="8"/>
  <c r="AJ122" i="8" s="1"/>
  <c r="AA25" i="8"/>
  <c r="AA27" i="8" s="1"/>
  <c r="AA124" i="8" s="1"/>
  <c r="Z25" i="8"/>
  <c r="X25" i="8"/>
  <c r="U25" i="8"/>
  <c r="N25" i="8"/>
  <c r="AJ21" i="8"/>
  <c r="AI21" i="8"/>
  <c r="AH21" i="8"/>
  <c r="AG21" i="8"/>
  <c r="Y21" i="8"/>
  <c r="X21" i="8"/>
  <c r="T21" i="8"/>
  <c r="S21" i="8"/>
  <c r="R21" i="8"/>
  <c r="Q21" i="8"/>
  <c r="P21" i="8"/>
  <c r="O21" i="8"/>
  <c r="K21" i="8"/>
  <c r="J21" i="8"/>
  <c r="AI20" i="8"/>
  <c r="AH20" i="8"/>
  <c r="AG20" i="8"/>
  <c r="AF20" i="8"/>
  <c r="AF21" i="8" s="1"/>
  <c r="AE20" i="8"/>
  <c r="AD20" i="8"/>
  <c r="AC20" i="8"/>
  <c r="AA20" i="8"/>
  <c r="Y20" i="8"/>
  <c r="X20" i="8"/>
  <c r="W20" i="8"/>
  <c r="V20" i="8"/>
  <c r="U20" i="8"/>
  <c r="K20" i="8"/>
  <c r="J20" i="8"/>
  <c r="I20" i="8"/>
  <c r="I21" i="8" s="1"/>
  <c r="H20" i="8"/>
  <c r="G20" i="8"/>
  <c r="AJ19" i="8"/>
  <c r="AI19" i="8"/>
  <c r="AH19" i="8"/>
  <c r="AG19" i="8"/>
  <c r="AF19" i="8"/>
  <c r="AE19" i="8"/>
  <c r="AE21" i="8" s="1"/>
  <c r="AD19" i="8"/>
  <c r="AC19" i="8"/>
  <c r="Y19" i="8"/>
  <c r="X19" i="8"/>
  <c r="W19" i="8"/>
  <c r="W21" i="8" s="1"/>
  <c r="V19" i="8"/>
  <c r="V21" i="8" s="1"/>
  <c r="N19" i="8"/>
  <c r="N21" i="8" s="1"/>
  <c r="M19" i="8"/>
  <c r="M21" i="8" s="1"/>
  <c r="K19" i="8"/>
  <c r="J19" i="8"/>
  <c r="I19" i="8"/>
  <c r="H19" i="8"/>
  <c r="H21" i="8" s="1"/>
  <c r="G19" i="8"/>
  <c r="G21" i="8" s="1"/>
  <c r="AI16" i="8"/>
  <c r="AH16" i="8"/>
  <c r="AE16" i="8"/>
  <c r="AD16" i="8"/>
  <c r="AC16" i="8"/>
  <c r="W16" i="8"/>
  <c r="O16" i="8"/>
  <c r="L16" i="8"/>
  <c r="AJ15" i="8"/>
  <c r="AJ16" i="8" s="1"/>
  <c r="AI15" i="8"/>
  <c r="AH15" i="8"/>
  <c r="AG15" i="8"/>
  <c r="AG16" i="8" s="1"/>
  <c r="AF15" i="8"/>
  <c r="AF16" i="8" s="1"/>
  <c r="AE15" i="8"/>
  <c r="AD15" i="8"/>
  <c r="AC15" i="8"/>
  <c r="AA15" i="8"/>
  <c r="Z15" i="8"/>
  <c r="Y15" i="8"/>
  <c r="X15" i="8"/>
  <c r="X16" i="8" s="1"/>
  <c r="W15" i="8"/>
  <c r="V15" i="8"/>
  <c r="V16" i="8" s="1"/>
  <c r="T15" i="8"/>
  <c r="S15" i="8"/>
  <c r="R15" i="8"/>
  <c r="Q15" i="8"/>
  <c r="Q16" i="8" s="1"/>
  <c r="P15" i="8"/>
  <c r="P16" i="8" s="1"/>
  <c r="O15" i="8"/>
  <c r="M15" i="8"/>
  <c r="K15" i="8"/>
  <c r="K16" i="8" s="1"/>
  <c r="J15" i="8"/>
  <c r="I15" i="8"/>
  <c r="I16" i="8" s="1"/>
  <c r="H15" i="8"/>
  <c r="H16" i="8" s="1"/>
  <c r="G15" i="8"/>
  <c r="G16" i="8" s="1"/>
  <c r="AB14" i="8"/>
  <c r="U14" i="8"/>
  <c r="N14" i="8"/>
  <c r="N20" i="8" s="1"/>
  <c r="AB13" i="8"/>
  <c r="U13" i="8"/>
  <c r="N13" i="8"/>
  <c r="N15" i="8" s="1"/>
  <c r="N16" i="8" s="1"/>
  <c r="AE9" i="8"/>
  <c r="AD9" i="8"/>
  <c r="AC9" i="8"/>
  <c r="W9" i="8"/>
  <c r="V9" i="8"/>
  <c r="T9" i="8"/>
  <c r="S9" i="8"/>
  <c r="O9" i="8"/>
  <c r="M9" i="8"/>
  <c r="AJ8" i="8"/>
  <c r="AJ9" i="8" s="1"/>
  <c r="AI8" i="8"/>
  <c r="AH8" i="8"/>
  <c r="AG8" i="8"/>
  <c r="AF8" i="8"/>
  <c r="AE8" i="8"/>
  <c r="AE54" i="8" s="1"/>
  <c r="AD8" i="8"/>
  <c r="AD196" i="8" s="1"/>
  <c r="AC8" i="8"/>
  <c r="Z8" i="8"/>
  <c r="Z54" i="8" s="1"/>
  <c r="Y8" i="8"/>
  <c r="Y53" i="8" s="1"/>
  <c r="X8" i="8"/>
  <c r="W8" i="8"/>
  <c r="W196" i="8" s="1"/>
  <c r="V8" i="8"/>
  <c r="V55" i="8" s="1"/>
  <c r="T8" i="8"/>
  <c r="T60" i="8" s="1"/>
  <c r="S8" i="8"/>
  <c r="R8" i="8"/>
  <c r="R53" i="8" s="1"/>
  <c r="Q8" i="8"/>
  <c r="P8" i="8"/>
  <c r="P59" i="8" s="1"/>
  <c r="O8" i="8"/>
  <c r="O180" i="8" s="1"/>
  <c r="M8" i="8"/>
  <c r="M54" i="8" s="1"/>
  <c r="K8" i="8"/>
  <c r="K53" i="8" s="1"/>
  <c r="J8" i="8"/>
  <c r="J60" i="8" s="1"/>
  <c r="I8" i="8"/>
  <c r="H8" i="8"/>
  <c r="G8" i="8"/>
  <c r="AJ7" i="8"/>
  <c r="AJ20" i="8" s="1"/>
  <c r="Z7" i="8"/>
  <c r="Z9" i="8" s="1"/>
  <c r="U7" i="8"/>
  <c r="N7" i="8"/>
  <c r="AJ6" i="8"/>
  <c r="AA6" i="8"/>
  <c r="AA8" i="8" s="1"/>
  <c r="Z6" i="8"/>
  <c r="Z19" i="8" s="1"/>
  <c r="U6" i="8"/>
  <c r="U8" i="8" s="1"/>
  <c r="N6" i="8"/>
  <c r="N8" i="8" s="1"/>
  <c r="N53" i="8" s="1"/>
  <c r="N63" i="6"/>
  <c r="N62" i="6"/>
  <c r="N60" i="6"/>
  <c r="X57" i="6"/>
  <c r="S57" i="6"/>
  <c r="N57" i="6"/>
  <c r="V54" i="6"/>
  <c r="U54" i="6"/>
  <c r="Q54" i="6"/>
  <c r="P54" i="6"/>
  <c r="O54" i="6"/>
  <c r="K54" i="6"/>
  <c r="J54" i="6"/>
  <c r="X53" i="6"/>
  <c r="S53" i="6"/>
  <c r="N53" i="6"/>
  <c r="X52" i="6"/>
  <c r="S52" i="6"/>
  <c r="N52" i="6"/>
  <c r="T51" i="6"/>
  <c r="X51" i="6" s="1"/>
  <c r="S51" i="6"/>
  <c r="L51" i="6"/>
  <c r="N51" i="6" s="1"/>
  <c r="X48" i="6"/>
  <c r="S48" i="6"/>
  <c r="N48" i="6"/>
  <c r="U44" i="6"/>
  <c r="P44" i="6"/>
  <c r="K44" i="6"/>
  <c r="X41" i="6"/>
  <c r="S41" i="6"/>
  <c r="N41" i="6"/>
  <c r="V40" i="6"/>
  <c r="V44" i="6" s="1"/>
  <c r="U40" i="6"/>
  <c r="T40" i="6"/>
  <c r="T44" i="6" s="1"/>
  <c r="Q40" i="6"/>
  <c r="Q44" i="6" s="1"/>
  <c r="P40" i="6"/>
  <c r="O40" i="6"/>
  <c r="O44" i="6" s="1"/>
  <c r="L40" i="6"/>
  <c r="L44" i="6" s="1"/>
  <c r="K40" i="6"/>
  <c r="U37" i="6"/>
  <c r="X37" i="6" s="1"/>
  <c r="Q37" i="6"/>
  <c r="P37" i="6"/>
  <c r="O37" i="6"/>
  <c r="L37" i="6"/>
  <c r="K37" i="6"/>
  <c r="X36" i="6"/>
  <c r="S36" i="6"/>
  <c r="N36" i="6"/>
  <c r="S35" i="6"/>
  <c r="S34" i="6"/>
  <c r="N34" i="6"/>
  <c r="U31" i="6"/>
  <c r="T31" i="6"/>
  <c r="P31" i="6"/>
  <c r="O31" i="6"/>
  <c r="U30" i="6"/>
  <c r="T30" i="6"/>
  <c r="P30" i="6"/>
  <c r="O30" i="6"/>
  <c r="V23" i="6"/>
  <c r="U23" i="6"/>
  <c r="U29" i="6" s="1"/>
  <c r="T23" i="6"/>
  <c r="T29" i="6" s="1"/>
  <c r="Q23" i="6"/>
  <c r="Q24" i="6" s="1"/>
  <c r="P23" i="6"/>
  <c r="O23" i="6"/>
  <c r="O29" i="6" s="1"/>
  <c r="J23" i="6"/>
  <c r="X22" i="6"/>
  <c r="S22" i="6"/>
  <c r="K22" i="6"/>
  <c r="N22" i="6" s="1"/>
  <c r="X21" i="6"/>
  <c r="S21" i="6"/>
  <c r="L21" i="6"/>
  <c r="L23" i="6" s="1"/>
  <c r="X20" i="6"/>
  <c r="S20" i="6"/>
  <c r="N20" i="6"/>
  <c r="X19" i="6"/>
  <c r="S19" i="6"/>
  <c r="N19" i="6"/>
  <c r="X18" i="6"/>
  <c r="S18" i="6"/>
  <c r="K18" i="6"/>
  <c r="X17" i="6"/>
  <c r="S17" i="6"/>
  <c r="N17" i="6"/>
  <c r="N14" i="6"/>
  <c r="S14" i="6" s="1"/>
  <c r="X14" i="6" s="1"/>
  <c r="Q13" i="6"/>
  <c r="P13" i="6"/>
  <c r="L13" i="6"/>
  <c r="K13" i="6"/>
  <c r="V9" i="6"/>
  <c r="U9" i="6"/>
  <c r="U10" i="6" s="1"/>
  <c r="Q9" i="6"/>
  <c r="Q10" i="6" s="1"/>
  <c r="P9" i="6"/>
  <c r="P10" i="6" s="1"/>
  <c r="L9" i="6"/>
  <c r="L10" i="6" s="1"/>
  <c r="K9" i="6"/>
  <c r="K10" i="6" s="1"/>
  <c r="X8" i="6"/>
  <c r="S8" i="6"/>
  <c r="N8" i="6"/>
  <c r="T7" i="6"/>
  <c r="T9" i="6" s="1"/>
  <c r="T13" i="6" s="1"/>
  <c r="O7" i="6"/>
  <c r="J7" i="6"/>
  <c r="X6" i="6"/>
  <c r="U75" i="5"/>
  <c r="Q75" i="5"/>
  <c r="U74" i="5"/>
  <c r="Q74" i="5"/>
  <c r="U73" i="5"/>
  <c r="Q73" i="5"/>
  <c r="U72" i="5"/>
  <c r="Q72" i="5"/>
  <c r="U71" i="5"/>
  <c r="Q71" i="5"/>
  <c r="M71" i="5"/>
  <c r="U70" i="5"/>
  <c r="Q70" i="5"/>
  <c r="K70" i="5"/>
  <c r="J70" i="5"/>
  <c r="U69" i="5"/>
  <c r="Q69" i="5"/>
  <c r="K69" i="5"/>
  <c r="J69" i="5"/>
  <c r="U68" i="5"/>
  <c r="Q68" i="5"/>
  <c r="K68" i="5"/>
  <c r="U67" i="5"/>
  <c r="Q67" i="5"/>
  <c r="K67" i="5"/>
  <c r="J67" i="5"/>
  <c r="P58" i="5"/>
  <c r="O58" i="5"/>
  <c r="N58" i="5"/>
  <c r="K58" i="5"/>
  <c r="J58" i="5"/>
  <c r="Q57" i="5"/>
  <c r="M57" i="5"/>
  <c r="Q56" i="5"/>
  <c r="M56" i="5"/>
  <c r="Q55" i="5"/>
  <c r="M55" i="5"/>
  <c r="Q54" i="5"/>
  <c r="M54" i="5"/>
  <c r="Q53" i="5"/>
  <c r="M53" i="5"/>
  <c r="Q52" i="5"/>
  <c r="M52" i="5"/>
  <c r="T47" i="5"/>
  <c r="S47" i="5"/>
  <c r="R47" i="5"/>
  <c r="P47" i="5"/>
  <c r="O47" i="5"/>
  <c r="N47" i="5"/>
  <c r="L47" i="5"/>
  <c r="K47" i="5"/>
  <c r="J47" i="5"/>
  <c r="U46" i="5"/>
  <c r="U47" i="5" s="1"/>
  <c r="Q46" i="5"/>
  <c r="Q47" i="5" s="1"/>
  <c r="M46" i="5"/>
  <c r="M47" i="5" s="1"/>
  <c r="T45" i="5"/>
  <c r="S45" i="5"/>
  <c r="R45" i="5"/>
  <c r="P45" i="5"/>
  <c r="O45" i="5"/>
  <c r="N45" i="5"/>
  <c r="L45" i="5"/>
  <c r="L48" i="5" s="1"/>
  <c r="K45" i="5"/>
  <c r="J45" i="5"/>
  <c r="M44" i="5"/>
  <c r="U43" i="5"/>
  <c r="Q43" i="5"/>
  <c r="M43" i="5"/>
  <c r="U42" i="5"/>
  <c r="Q42" i="5"/>
  <c r="M42" i="5"/>
  <c r="U41" i="5"/>
  <c r="Q41" i="5"/>
  <c r="M41" i="5"/>
  <c r="U40" i="5"/>
  <c r="Q40" i="5"/>
  <c r="M40" i="5"/>
  <c r="U39" i="5"/>
  <c r="Q39" i="5"/>
  <c r="M39" i="5"/>
  <c r="U38" i="5"/>
  <c r="Q38" i="5"/>
  <c r="M38" i="5"/>
  <c r="U37" i="5"/>
  <c r="Q37" i="5"/>
  <c r="M37" i="5"/>
  <c r="U36" i="5"/>
  <c r="Q36" i="5"/>
  <c r="M36" i="5"/>
  <c r="L33" i="5"/>
  <c r="K33" i="5"/>
  <c r="J33" i="5"/>
  <c r="T29" i="5"/>
  <c r="T33" i="5" s="1"/>
  <c r="S29" i="5"/>
  <c r="S33" i="5" s="1"/>
  <c r="R29" i="5"/>
  <c r="R32" i="5" s="1"/>
  <c r="P29" i="5"/>
  <c r="P33" i="5" s="1"/>
  <c r="O29" i="5"/>
  <c r="O31" i="5" s="1"/>
  <c r="N29" i="5"/>
  <c r="L29" i="5"/>
  <c r="K29" i="5"/>
  <c r="K31" i="5" s="1"/>
  <c r="J29" i="5"/>
  <c r="J31" i="5" s="1"/>
  <c r="U28" i="5"/>
  <c r="Q28" i="5"/>
  <c r="M28" i="5"/>
  <c r="U27" i="5"/>
  <c r="Q27" i="5"/>
  <c r="M27" i="5"/>
  <c r="U26" i="5"/>
  <c r="Q26" i="5"/>
  <c r="M26" i="5"/>
  <c r="U25" i="5"/>
  <c r="Q25" i="5"/>
  <c r="M25" i="5"/>
  <c r="U24" i="5"/>
  <c r="Q24" i="5"/>
  <c r="M24" i="5"/>
  <c r="U23" i="5"/>
  <c r="Q23" i="5"/>
  <c r="M23" i="5"/>
  <c r="U22" i="5"/>
  <c r="Q22" i="5"/>
  <c r="M22" i="5"/>
  <c r="U21" i="5"/>
  <c r="Q21" i="5"/>
  <c r="M21" i="5"/>
  <c r="U14" i="5"/>
  <c r="Q14" i="5"/>
  <c r="M14" i="5"/>
  <c r="U13" i="5"/>
  <c r="Q13" i="5"/>
  <c r="M13" i="5"/>
  <c r="U12" i="5"/>
  <c r="Q12" i="5"/>
  <c r="M12" i="5"/>
  <c r="U11" i="5"/>
  <c r="Q11" i="5"/>
  <c r="M11" i="5"/>
  <c r="U10" i="5"/>
  <c r="Q10" i="5"/>
  <c r="M10" i="5"/>
  <c r="U9" i="5"/>
  <c r="Q9" i="5"/>
  <c r="M9" i="5"/>
  <c r="U8" i="5"/>
  <c r="Q8" i="5"/>
  <c r="M8" i="5"/>
  <c r="U7" i="5"/>
  <c r="Q7" i="5"/>
  <c r="M7" i="5"/>
  <c r="U6" i="5"/>
  <c r="Q6" i="5"/>
  <c r="L6" i="5"/>
  <c r="M6" i="5" s="1"/>
  <c r="AA47" i="4"/>
  <c r="Z47" i="4"/>
  <c r="Y47" i="4"/>
  <c r="X47" i="4"/>
  <c r="W47" i="4"/>
  <c r="U47" i="4"/>
  <c r="T47" i="4"/>
  <c r="S47" i="4"/>
  <c r="R47" i="4"/>
  <c r="M47" i="4"/>
  <c r="L47" i="4"/>
  <c r="K47" i="4"/>
  <c r="AB46" i="4"/>
  <c r="Q46" i="4"/>
  <c r="V46" i="4" s="1"/>
  <c r="P46" i="4"/>
  <c r="AB45" i="4"/>
  <c r="V45" i="4"/>
  <c r="P45" i="4"/>
  <c r="AB44" i="4"/>
  <c r="V44" i="4"/>
  <c r="P44" i="4"/>
  <c r="AA41" i="4"/>
  <c r="Z41" i="4"/>
  <c r="Y41" i="4"/>
  <c r="W41" i="4"/>
  <c r="U41" i="4"/>
  <c r="T41" i="4"/>
  <c r="S41" i="4"/>
  <c r="Q41" i="4"/>
  <c r="P41" i="4"/>
  <c r="X40" i="4"/>
  <c r="AB40" i="4" s="1"/>
  <c r="R40" i="4"/>
  <c r="V40" i="4" s="1"/>
  <c r="P40" i="4"/>
  <c r="X39" i="4"/>
  <c r="AB39" i="4" s="1"/>
  <c r="R39" i="4"/>
  <c r="V39" i="4" s="1"/>
  <c r="P39" i="4"/>
  <c r="AB36" i="4"/>
  <c r="V36" i="4"/>
  <c r="P36" i="4"/>
  <c r="M34" i="4"/>
  <c r="L34" i="4"/>
  <c r="K34" i="4"/>
  <c r="Y33" i="4"/>
  <c r="X33" i="4"/>
  <c r="W33" i="4"/>
  <c r="S33" i="4"/>
  <c r="Q33" i="4"/>
  <c r="M33" i="4"/>
  <c r="L33" i="4"/>
  <c r="K33" i="4"/>
  <c r="AB32" i="4"/>
  <c r="V32" i="4"/>
  <c r="P32" i="4"/>
  <c r="P34" i="4" s="1"/>
  <c r="AB31" i="4"/>
  <c r="V31" i="4"/>
  <c r="P31" i="4"/>
  <c r="AB30" i="4"/>
  <c r="R30" i="4"/>
  <c r="R33" i="4" s="1"/>
  <c r="P30" i="4"/>
  <c r="AA27" i="4"/>
  <c r="Z27" i="4"/>
  <c r="Y27" i="4"/>
  <c r="X27" i="4"/>
  <c r="W27" i="4"/>
  <c r="U27" i="4"/>
  <c r="T27" i="4"/>
  <c r="S27" i="4"/>
  <c r="R27" i="4"/>
  <c r="Q27" i="4"/>
  <c r="AB26" i="4"/>
  <c r="V26" i="4"/>
  <c r="AB25" i="4"/>
  <c r="V25" i="4"/>
  <c r="AA22" i="4"/>
  <c r="Z22" i="4"/>
  <c r="Y22" i="4"/>
  <c r="X22" i="4"/>
  <c r="W22" i="4"/>
  <c r="U22" i="4"/>
  <c r="T22" i="4"/>
  <c r="S22" i="4"/>
  <c r="R22" i="4"/>
  <c r="Q22" i="4"/>
  <c r="O22" i="4"/>
  <c r="AB21" i="4"/>
  <c r="V21" i="4"/>
  <c r="AB20" i="4"/>
  <c r="V20" i="4"/>
  <c r="AB19" i="4"/>
  <c r="V19" i="4"/>
  <c r="AB18" i="4"/>
  <c r="V18" i="4"/>
  <c r="AA15" i="4"/>
  <c r="Z15" i="4"/>
  <c r="Y15" i="4"/>
  <c r="X15" i="4"/>
  <c r="W15" i="4"/>
  <c r="U15" i="4"/>
  <c r="T15" i="4"/>
  <c r="S15" i="4"/>
  <c r="R15" i="4"/>
  <c r="Q15" i="4"/>
  <c r="N15" i="4"/>
  <c r="K15" i="4"/>
  <c r="AB14" i="4"/>
  <c r="V14" i="4"/>
  <c r="AB13" i="4"/>
  <c r="V13" i="4"/>
  <c r="AA10" i="4"/>
  <c r="Z10" i="4"/>
  <c r="Y10" i="4"/>
  <c r="X10" i="4"/>
  <c r="W10" i="4"/>
  <c r="U10" i="4"/>
  <c r="T10" i="4"/>
  <c r="S10" i="4"/>
  <c r="R10" i="4"/>
  <c r="Q10" i="4"/>
  <c r="N10" i="4"/>
  <c r="L10" i="4"/>
  <c r="K10" i="4"/>
  <c r="AB9" i="4"/>
  <c r="V9" i="4"/>
  <c r="P9" i="4"/>
  <c r="AB8" i="4"/>
  <c r="V8" i="4"/>
  <c r="P8" i="4"/>
  <c r="AB7" i="4"/>
  <c r="V7" i="4"/>
  <c r="P7" i="4"/>
  <c r="M10" i="4"/>
  <c r="M14" i="4" s="1"/>
  <c r="AB6" i="4"/>
  <c r="V6" i="4"/>
  <c r="P6" i="4"/>
  <c r="N5" i="4"/>
  <c r="W44" i="3"/>
  <c r="V44" i="3"/>
  <c r="U44" i="3"/>
  <c r="S44" i="3"/>
  <c r="R44" i="3"/>
  <c r="Q44" i="3"/>
  <c r="O44" i="3"/>
  <c r="N44" i="3"/>
  <c r="M44" i="3"/>
  <c r="W43" i="3"/>
  <c r="V43" i="3"/>
  <c r="U43" i="3"/>
  <c r="S43" i="3"/>
  <c r="R43" i="3"/>
  <c r="Q43" i="3"/>
  <c r="O43" i="3"/>
  <c r="N43" i="3"/>
  <c r="M43" i="3"/>
  <c r="K43" i="3"/>
  <c r="K46" i="3" s="1"/>
  <c r="J43" i="3"/>
  <c r="J46" i="3" s="1"/>
  <c r="I43" i="3"/>
  <c r="W42" i="3"/>
  <c r="V42" i="3"/>
  <c r="U42" i="3"/>
  <c r="S42" i="3"/>
  <c r="R42" i="3"/>
  <c r="Q42" i="3"/>
  <c r="O42" i="3"/>
  <c r="N42" i="3"/>
  <c r="M42" i="3"/>
  <c r="X41" i="3"/>
  <c r="S41" i="3"/>
  <c r="R41" i="3"/>
  <c r="Q41" i="3"/>
  <c r="O41" i="3"/>
  <c r="N41" i="3"/>
  <c r="M41" i="3"/>
  <c r="W40" i="3"/>
  <c r="V40" i="3"/>
  <c r="U40" i="3"/>
  <c r="S40" i="3"/>
  <c r="R40" i="3"/>
  <c r="Q40" i="3"/>
  <c r="O40" i="3"/>
  <c r="N40" i="3"/>
  <c r="M40" i="3"/>
  <c r="W38" i="3"/>
  <c r="V38" i="3"/>
  <c r="U38" i="3"/>
  <c r="S38" i="3"/>
  <c r="R38" i="3"/>
  <c r="Q38" i="3"/>
  <c r="O38" i="3"/>
  <c r="N38" i="3"/>
  <c r="M38" i="3"/>
  <c r="W37" i="3"/>
  <c r="V37" i="3"/>
  <c r="U37" i="3"/>
  <c r="S37" i="3"/>
  <c r="R37" i="3"/>
  <c r="Q37" i="3"/>
  <c r="O37" i="3"/>
  <c r="N37" i="3"/>
  <c r="M37" i="3"/>
  <c r="V36" i="3"/>
  <c r="U36" i="3"/>
  <c r="S36" i="3"/>
  <c r="R36" i="3"/>
  <c r="Q36" i="3"/>
  <c r="O36" i="3"/>
  <c r="N36" i="3"/>
  <c r="M36" i="3"/>
  <c r="W33" i="3"/>
  <c r="V33" i="3"/>
  <c r="U33" i="3"/>
  <c r="S33" i="3"/>
  <c r="R33" i="3"/>
  <c r="Q33" i="3"/>
  <c r="O33" i="3"/>
  <c r="N33" i="3"/>
  <c r="M33" i="3"/>
  <c r="K33" i="3"/>
  <c r="J33" i="3"/>
  <c r="I33" i="3"/>
  <c r="W32" i="3"/>
  <c r="V32" i="3"/>
  <c r="U32" i="3"/>
  <c r="S32" i="3"/>
  <c r="R32" i="3"/>
  <c r="Q32" i="3"/>
  <c r="O32" i="3"/>
  <c r="N32" i="3"/>
  <c r="M32" i="3"/>
  <c r="K32" i="3"/>
  <c r="J32" i="3"/>
  <c r="I32" i="3"/>
  <c r="W31" i="3"/>
  <c r="V31" i="3"/>
  <c r="U31" i="3"/>
  <c r="S31" i="3"/>
  <c r="R31" i="3"/>
  <c r="Q31" i="3"/>
  <c r="O31" i="3"/>
  <c r="N31" i="3"/>
  <c r="M31" i="3"/>
  <c r="K31" i="3"/>
  <c r="J31" i="3"/>
  <c r="I31" i="3"/>
  <c r="W30" i="3"/>
  <c r="V30" i="3"/>
  <c r="U30" i="3"/>
  <c r="S30" i="3"/>
  <c r="R30" i="3"/>
  <c r="Q30" i="3"/>
  <c r="O30" i="3"/>
  <c r="N30" i="3"/>
  <c r="M30" i="3"/>
  <c r="K30" i="3"/>
  <c r="J30" i="3"/>
  <c r="I30" i="3"/>
  <c r="X29" i="3"/>
  <c r="T29" i="3"/>
  <c r="P29" i="3"/>
  <c r="L29" i="3"/>
  <c r="X28" i="3"/>
  <c r="T28" i="3"/>
  <c r="P28" i="3"/>
  <c r="L28" i="3"/>
  <c r="X27" i="3"/>
  <c r="T27" i="3"/>
  <c r="P27" i="3"/>
  <c r="L27" i="3"/>
  <c r="X26" i="3"/>
  <c r="T26" i="3"/>
  <c r="P26" i="3"/>
  <c r="L26" i="3"/>
  <c r="X25" i="3"/>
  <c r="T25" i="3"/>
  <c r="P25" i="3"/>
  <c r="L25" i="3"/>
  <c r="P24" i="3"/>
  <c r="L24" i="3"/>
  <c r="X23" i="3"/>
  <c r="T23" i="3"/>
  <c r="P23" i="3"/>
  <c r="L23" i="3"/>
  <c r="X22" i="3"/>
  <c r="T22" i="3"/>
  <c r="P22" i="3"/>
  <c r="L22" i="3"/>
  <c r="X21" i="3"/>
  <c r="T21" i="3"/>
  <c r="P21" i="3"/>
  <c r="L21" i="3"/>
  <c r="W18" i="3"/>
  <c r="V18" i="3"/>
  <c r="U18" i="3"/>
  <c r="S18" i="3"/>
  <c r="R18" i="3"/>
  <c r="Q18" i="3"/>
  <c r="O18" i="3"/>
  <c r="N18" i="3"/>
  <c r="M18" i="3"/>
  <c r="K18" i="3"/>
  <c r="J18" i="3"/>
  <c r="I18" i="3"/>
  <c r="W17" i="3"/>
  <c r="V17" i="3"/>
  <c r="U17" i="3"/>
  <c r="S17" i="3"/>
  <c r="R17" i="3"/>
  <c r="Q17" i="3"/>
  <c r="O17" i="3"/>
  <c r="N17" i="3"/>
  <c r="M17" i="3"/>
  <c r="K17" i="3"/>
  <c r="J17" i="3"/>
  <c r="I17" i="3"/>
  <c r="W16" i="3"/>
  <c r="V16" i="3"/>
  <c r="U16" i="3"/>
  <c r="S16" i="3"/>
  <c r="R16" i="3"/>
  <c r="Q16" i="3"/>
  <c r="O16" i="3"/>
  <c r="N16" i="3"/>
  <c r="M16" i="3"/>
  <c r="K16" i="3"/>
  <c r="J16" i="3"/>
  <c r="I16" i="3"/>
  <c r="W15" i="3"/>
  <c r="V15" i="3"/>
  <c r="U15" i="3"/>
  <c r="S15" i="3"/>
  <c r="R15" i="3"/>
  <c r="Q15" i="3"/>
  <c r="O15" i="3"/>
  <c r="N15" i="3"/>
  <c r="M15" i="3"/>
  <c r="J15" i="3"/>
  <c r="I15" i="3"/>
  <c r="X14" i="3"/>
  <c r="T14" i="3"/>
  <c r="P14" i="3"/>
  <c r="L14" i="3"/>
  <c r="X13" i="3"/>
  <c r="T13" i="3"/>
  <c r="P13" i="3"/>
  <c r="L13" i="3"/>
  <c r="X12" i="3"/>
  <c r="T12" i="3"/>
  <c r="P12" i="3"/>
  <c r="L12" i="3"/>
  <c r="X11" i="3"/>
  <c r="T11" i="3"/>
  <c r="P11" i="3"/>
  <c r="L11" i="3"/>
  <c r="X10" i="3"/>
  <c r="T10" i="3"/>
  <c r="P10" i="3"/>
  <c r="L10" i="3"/>
  <c r="X9" i="3"/>
  <c r="T9" i="3"/>
  <c r="P9" i="3"/>
  <c r="L9" i="3"/>
  <c r="X8" i="3"/>
  <c r="T8" i="3"/>
  <c r="P8" i="3"/>
  <c r="L8" i="3"/>
  <c r="X7" i="3"/>
  <c r="T7" i="3"/>
  <c r="P7" i="3"/>
  <c r="L7" i="3"/>
  <c r="X6" i="3"/>
  <c r="T6" i="3"/>
  <c r="P6" i="3"/>
  <c r="L6" i="3"/>
  <c r="AD183" i="2"/>
  <c r="AC183" i="2"/>
  <c r="AB183" i="2"/>
  <c r="AA183" i="2"/>
  <c r="Z183" i="2"/>
  <c r="W183" i="2"/>
  <c r="V183" i="2"/>
  <c r="U183" i="2"/>
  <c r="T183" i="2"/>
  <c r="S183" i="2"/>
  <c r="AF182" i="2"/>
  <c r="Y182" i="2"/>
  <c r="R182" i="2"/>
  <c r="AF181" i="2"/>
  <c r="Y181" i="2"/>
  <c r="R181" i="2"/>
  <c r="AF180" i="2"/>
  <c r="Y180" i="2"/>
  <c r="R180" i="2"/>
  <c r="AF179" i="2"/>
  <c r="Y179" i="2"/>
  <c r="R179" i="2"/>
  <c r="AF178" i="2"/>
  <c r="R178" i="2"/>
  <c r="AE175" i="2"/>
  <c r="AC175" i="2"/>
  <c r="AB175" i="2"/>
  <c r="AA175" i="2"/>
  <c r="Z175" i="2"/>
  <c r="X175" i="2"/>
  <c r="W175" i="2"/>
  <c r="V175" i="2"/>
  <c r="U175" i="2"/>
  <c r="T175" i="2"/>
  <c r="S175" i="2"/>
  <c r="Q175" i="2"/>
  <c r="P175" i="2"/>
  <c r="N175" i="2"/>
  <c r="M175" i="2"/>
  <c r="L175" i="2"/>
  <c r="AF174" i="2"/>
  <c r="Y174" i="2"/>
  <c r="R174" i="2"/>
  <c r="AF173" i="2"/>
  <c r="Y173" i="2"/>
  <c r="R173" i="2"/>
  <c r="AF172" i="2"/>
  <c r="Y172" i="2"/>
  <c r="R172" i="2"/>
  <c r="AD166" i="2"/>
  <c r="W166" i="2"/>
  <c r="V166" i="2"/>
  <c r="U166" i="2"/>
  <c r="T166" i="2"/>
  <c r="S166" i="2"/>
  <c r="P166" i="2"/>
  <c r="O166" i="2"/>
  <c r="N166" i="2"/>
  <c r="M166" i="2"/>
  <c r="L166" i="2"/>
  <c r="AC165" i="2"/>
  <c r="AB165" i="2"/>
  <c r="AA165" i="2"/>
  <c r="Z165" i="2"/>
  <c r="X165" i="2"/>
  <c r="Y165" i="2" s="1"/>
  <c r="AC164" i="2"/>
  <c r="AB164" i="2"/>
  <c r="AA164" i="2"/>
  <c r="Z164" i="2"/>
  <c r="X164" i="2"/>
  <c r="R164" i="2"/>
  <c r="AD161" i="2"/>
  <c r="AC161" i="2"/>
  <c r="AB161" i="2"/>
  <c r="AA161" i="2"/>
  <c r="V161" i="2"/>
  <c r="U161" i="2"/>
  <c r="T161" i="2"/>
  <c r="S161" i="2"/>
  <c r="P161" i="2"/>
  <c r="O161" i="2"/>
  <c r="N161" i="2"/>
  <c r="M161" i="2"/>
  <c r="L161" i="2"/>
  <c r="Z160" i="2"/>
  <c r="Z161" i="2" s="1"/>
  <c r="W160" i="2"/>
  <c r="W161" i="2" s="1"/>
  <c r="R160" i="2"/>
  <c r="AF159" i="2"/>
  <c r="Y159" i="2"/>
  <c r="R159" i="2"/>
  <c r="AD155" i="2"/>
  <c r="AC155" i="2"/>
  <c r="AA155" i="2"/>
  <c r="P155" i="2"/>
  <c r="AF154" i="2"/>
  <c r="W154" i="2"/>
  <c r="W155" i="2" s="1"/>
  <c r="V154" i="2"/>
  <c r="V155" i="2" s="1"/>
  <c r="U154" i="2"/>
  <c r="T154" i="2"/>
  <c r="T155" i="2" s="1"/>
  <c r="S154" i="2"/>
  <c r="R154" i="2"/>
  <c r="AB153" i="2"/>
  <c r="AF153" i="2" s="1"/>
  <c r="U153" i="2"/>
  <c r="S153" i="2"/>
  <c r="N153" i="2"/>
  <c r="N155" i="2" s="1"/>
  <c r="M153" i="2"/>
  <c r="M155" i="2" s="1"/>
  <c r="L153" i="2"/>
  <c r="L155" i="2" s="1"/>
  <c r="Z152" i="2"/>
  <c r="Z155" i="2" s="1"/>
  <c r="Y152" i="2"/>
  <c r="R152" i="2"/>
  <c r="AC148" i="2"/>
  <c r="U148" i="2"/>
  <c r="T148" i="2"/>
  <c r="S148" i="2"/>
  <c r="AC147" i="2"/>
  <c r="U147" i="2"/>
  <c r="T147" i="2"/>
  <c r="S147" i="2"/>
  <c r="AD146" i="2"/>
  <c r="U141" i="2"/>
  <c r="T141" i="2"/>
  <c r="S141" i="2"/>
  <c r="U140" i="2"/>
  <c r="T140" i="2"/>
  <c r="S140" i="2"/>
  <c r="U139" i="2"/>
  <c r="T139" i="2"/>
  <c r="S139" i="2"/>
  <c r="AB138" i="2"/>
  <c r="AA138" i="2"/>
  <c r="AA141" i="2" s="1"/>
  <c r="Z138" i="2"/>
  <c r="Z141" i="2" s="1"/>
  <c r="Y138" i="2"/>
  <c r="N138" i="2"/>
  <c r="N141" i="2" s="1"/>
  <c r="M138" i="2"/>
  <c r="M141" i="2" s="1"/>
  <c r="L138" i="2"/>
  <c r="AB137" i="2"/>
  <c r="AB140" i="2" s="1"/>
  <c r="AA137" i="2"/>
  <c r="AA140" i="2" s="1"/>
  <c r="Z137" i="2"/>
  <c r="Z140" i="2" s="1"/>
  <c r="Y137" i="2"/>
  <c r="N137" i="2"/>
  <c r="N140" i="2" s="1"/>
  <c r="M137" i="2"/>
  <c r="L137" i="2"/>
  <c r="U133" i="2"/>
  <c r="T133" i="2"/>
  <c r="S133" i="2"/>
  <c r="P133" i="2"/>
  <c r="AC132" i="2"/>
  <c r="U132" i="2"/>
  <c r="T132" i="2"/>
  <c r="S132" i="2"/>
  <c r="AC131" i="2"/>
  <c r="AB130" i="2"/>
  <c r="AA130" i="2"/>
  <c r="W130" i="2"/>
  <c r="V130" i="2"/>
  <c r="N130" i="2"/>
  <c r="M130" i="2"/>
  <c r="L130" i="2"/>
  <c r="AB129" i="2"/>
  <c r="AA129" i="2"/>
  <c r="Y129" i="2"/>
  <c r="N129" i="2"/>
  <c r="L129" i="2"/>
  <c r="AE128" i="2"/>
  <c r="AC128" i="2"/>
  <c r="AC146" i="2" s="1"/>
  <c r="U128" i="2"/>
  <c r="T128" i="2"/>
  <c r="S128" i="2"/>
  <c r="P128" i="2"/>
  <c r="AB127" i="2"/>
  <c r="AA127" i="2"/>
  <c r="AA132" i="2" s="1"/>
  <c r="Z127" i="2"/>
  <c r="W127" i="2"/>
  <c r="W148" i="2" s="1"/>
  <c r="V127" i="2"/>
  <c r="V148" i="2" s="1"/>
  <c r="N127" i="2"/>
  <c r="N133" i="2" s="1"/>
  <c r="M127" i="2"/>
  <c r="M133" i="2" s="1"/>
  <c r="L127" i="2"/>
  <c r="AB126" i="2"/>
  <c r="AA126" i="2"/>
  <c r="Z126" i="2"/>
  <c r="Z131" i="2" s="1"/>
  <c r="W126" i="2"/>
  <c r="V126" i="2"/>
  <c r="N126" i="2"/>
  <c r="M126" i="2"/>
  <c r="M132" i="2" s="1"/>
  <c r="L126" i="2"/>
  <c r="AF123" i="2"/>
  <c r="Y123" i="2"/>
  <c r="W123" i="2"/>
  <c r="V123" i="2"/>
  <c r="U123" i="2"/>
  <c r="T123" i="2"/>
  <c r="S123" i="2"/>
  <c r="R123" i="2"/>
  <c r="P123" i="2"/>
  <c r="O123" i="2"/>
  <c r="N123" i="2"/>
  <c r="M123" i="2"/>
  <c r="L123" i="2"/>
  <c r="AF122" i="2"/>
  <c r="AB121" i="2"/>
  <c r="AF121" i="2" s="1"/>
  <c r="Y121" i="2"/>
  <c r="R121" i="2"/>
  <c r="AF116" i="2"/>
  <c r="Y116" i="2"/>
  <c r="R116" i="2"/>
  <c r="AD115" i="2"/>
  <c r="AF115" i="2" s="1"/>
  <c r="Y115" i="2"/>
  <c r="R115" i="2"/>
  <c r="AD114" i="2"/>
  <c r="Y114" i="2"/>
  <c r="R114" i="2"/>
  <c r="AD113" i="2"/>
  <c r="AF113" i="2" s="1"/>
  <c r="Y113" i="2"/>
  <c r="R113" i="2"/>
  <c r="AF112" i="2"/>
  <c r="V112" i="2"/>
  <c r="Y112" i="2" s="1"/>
  <c r="P112" i="2"/>
  <c r="N112" i="2"/>
  <c r="L112" i="2"/>
  <c r="AD111" i="2"/>
  <c r="AC111" i="2"/>
  <c r="AB111" i="2"/>
  <c r="AA111" i="2"/>
  <c r="Z111" i="2"/>
  <c r="V111" i="2"/>
  <c r="Y111" i="2" s="1"/>
  <c r="R111" i="2"/>
  <c r="AF110" i="2"/>
  <c r="V110" i="2"/>
  <c r="Y110" i="2" s="1"/>
  <c r="R110" i="2"/>
  <c r="AC109" i="2"/>
  <c r="AB109" i="2"/>
  <c r="AA109" i="2"/>
  <c r="Z109" i="2"/>
  <c r="X109" i="2"/>
  <c r="W109" i="2"/>
  <c r="T109" i="2"/>
  <c r="S109" i="2"/>
  <c r="Q109" i="2"/>
  <c r="O109" i="2"/>
  <c r="M109" i="2"/>
  <c r="AE108" i="2"/>
  <c r="AD108" i="2"/>
  <c r="Y108" i="2"/>
  <c r="R108" i="2"/>
  <c r="AE107" i="2"/>
  <c r="AD107" i="2"/>
  <c r="V107" i="2"/>
  <c r="V109" i="2" s="1"/>
  <c r="U107" i="2"/>
  <c r="U109" i="2" s="1"/>
  <c r="P107" i="2"/>
  <c r="N107" i="2"/>
  <c r="N109" i="2" s="1"/>
  <c r="L107" i="2"/>
  <c r="L109" i="2" s="1"/>
  <c r="AF104" i="2"/>
  <c r="Y104" i="2"/>
  <c r="R104" i="2"/>
  <c r="AD103" i="2"/>
  <c r="AF103" i="2" s="1"/>
  <c r="Y103" i="2"/>
  <c r="R103" i="2"/>
  <c r="AD102" i="2"/>
  <c r="AF102" i="2" s="1"/>
  <c r="Y102" i="2"/>
  <c r="R102" i="2"/>
  <c r="AD101" i="2"/>
  <c r="AF101" i="2" s="1"/>
  <c r="Y101" i="2"/>
  <c r="R101" i="2"/>
  <c r="AA100" i="2"/>
  <c r="AF100" i="2" s="1"/>
  <c r="Y100" i="2"/>
  <c r="P100" i="2"/>
  <c r="N100" i="2"/>
  <c r="L100" i="2"/>
  <c r="AF99" i="2"/>
  <c r="Y99" i="2"/>
  <c r="N99" i="2"/>
  <c r="R99" i="2" s="1"/>
  <c r="AF98" i="2"/>
  <c r="Y98" i="2"/>
  <c r="R98" i="2"/>
  <c r="AE97" i="2"/>
  <c r="AC97" i="2"/>
  <c r="AB97" i="2"/>
  <c r="Z97" i="2"/>
  <c r="X97" i="2"/>
  <c r="W97" i="2"/>
  <c r="V97" i="2"/>
  <c r="U97" i="2"/>
  <c r="T97" i="2"/>
  <c r="S97" i="2"/>
  <c r="Q97" i="2"/>
  <c r="O97" i="2"/>
  <c r="M97" i="2"/>
  <c r="AD96" i="2"/>
  <c r="AF96" i="2" s="1"/>
  <c r="Y96" i="2"/>
  <c r="R96" i="2"/>
  <c r="AD95" i="2"/>
  <c r="AA95" i="2"/>
  <c r="Y95" i="2"/>
  <c r="P95" i="2"/>
  <c r="P97" i="2" s="1"/>
  <c r="N95" i="2"/>
  <c r="N97" i="2" s="1"/>
  <c r="L95" i="2"/>
  <c r="AF91" i="2"/>
  <c r="Y91" i="2"/>
  <c r="AF86" i="2"/>
  <c r="Y86" i="2"/>
  <c r="Q86" i="2"/>
  <c r="P86" i="2"/>
  <c r="O86" i="2"/>
  <c r="N86" i="2"/>
  <c r="L86" i="2"/>
  <c r="AD85" i="2"/>
  <c r="AF85" i="2" s="1"/>
  <c r="Y85" i="2"/>
  <c r="R85" i="2"/>
  <c r="AD84" i="2"/>
  <c r="AF84" i="2" s="1"/>
  <c r="Y84" i="2"/>
  <c r="R84" i="2"/>
  <c r="AD83" i="2"/>
  <c r="AF83" i="2" s="1"/>
  <c r="Y83" i="2"/>
  <c r="R83" i="2"/>
  <c r="AC82" i="2"/>
  <c r="AC87" i="2" s="1"/>
  <c r="AB82" i="2"/>
  <c r="AB88" i="2" s="1"/>
  <c r="AA82" i="2"/>
  <c r="AA88" i="2" s="1"/>
  <c r="Z82" i="2"/>
  <c r="X82" i="2"/>
  <c r="X89" i="2" s="1"/>
  <c r="T82" i="2"/>
  <c r="T89" i="2" s="1"/>
  <c r="Q82" i="2"/>
  <c r="Q88" i="2" s="1"/>
  <c r="O82" i="2"/>
  <c r="O88" i="2" s="1"/>
  <c r="M82" i="2"/>
  <c r="AD81" i="2"/>
  <c r="AF81" i="2" s="1"/>
  <c r="Y81" i="2"/>
  <c r="R81" i="2"/>
  <c r="AE80" i="2"/>
  <c r="AE82" i="2" s="1"/>
  <c r="AD80" i="2"/>
  <c r="W80" i="2"/>
  <c r="W82" i="2" s="1"/>
  <c r="W88" i="2" s="1"/>
  <c r="V80" i="2"/>
  <c r="V82" i="2" s="1"/>
  <c r="V88" i="2" s="1"/>
  <c r="U80" i="2"/>
  <c r="U82" i="2" s="1"/>
  <c r="U87" i="2" s="1"/>
  <c r="S80" i="2"/>
  <c r="S82" i="2" s="1"/>
  <c r="P80" i="2"/>
  <c r="P82" i="2" s="1"/>
  <c r="P87" i="2" s="1"/>
  <c r="N80" i="2"/>
  <c r="N82" i="2" s="1"/>
  <c r="N88" i="2" s="1"/>
  <c r="L80" i="2"/>
  <c r="L82" i="2" s="1"/>
  <c r="L88" i="2" s="1"/>
  <c r="AB77" i="2"/>
  <c r="AF77" i="2" s="1"/>
  <c r="W77" i="2"/>
  <c r="V77" i="2"/>
  <c r="U77" i="2"/>
  <c r="S77" i="2"/>
  <c r="P77" i="2"/>
  <c r="N77" i="2"/>
  <c r="L77" i="2"/>
  <c r="AB76" i="2"/>
  <c r="AF76" i="2" s="1"/>
  <c r="V76" i="2"/>
  <c r="U76" i="2"/>
  <c r="P76" i="2"/>
  <c r="N76" i="2"/>
  <c r="AF75" i="2"/>
  <c r="Y75" i="2"/>
  <c r="R75" i="2"/>
  <c r="AF59" i="2"/>
  <c r="Y59" i="2"/>
  <c r="R59" i="2"/>
  <c r="AD58" i="2"/>
  <c r="Y58" i="2"/>
  <c r="R58" i="2"/>
  <c r="AD57" i="2"/>
  <c r="Y57" i="2"/>
  <c r="R57" i="2"/>
  <c r="AD56" i="2"/>
  <c r="AF56" i="2" s="1"/>
  <c r="Y56" i="2"/>
  <c r="R56" i="2"/>
  <c r="AE55" i="2"/>
  <c r="AC55" i="2"/>
  <c r="AB55" i="2"/>
  <c r="AB68" i="2" s="1"/>
  <c r="AA55" i="2"/>
  <c r="AA68" i="2" s="1"/>
  <c r="Z55" i="2"/>
  <c r="X55" i="2"/>
  <c r="X68" i="2" s="1"/>
  <c r="V55" i="2"/>
  <c r="V68" i="2" s="1"/>
  <c r="U55" i="2"/>
  <c r="U68" i="2" s="1"/>
  <c r="T55" i="2"/>
  <c r="T68" i="2" s="1"/>
  <c r="S55" i="2"/>
  <c r="S68" i="2" s="1"/>
  <c r="Q55" i="2"/>
  <c r="Q68" i="2" s="1"/>
  <c r="P55" i="2"/>
  <c r="O55" i="2"/>
  <c r="N55" i="2"/>
  <c r="N68" i="2" s="1"/>
  <c r="M55" i="2"/>
  <c r="M68" i="2" s="1"/>
  <c r="L55" i="2"/>
  <c r="L68" i="2" s="1"/>
  <c r="AD54" i="2"/>
  <c r="AF54" i="2" s="1"/>
  <c r="W54" i="2"/>
  <c r="W55" i="2" s="1"/>
  <c r="R54" i="2"/>
  <c r="AD53" i="2"/>
  <c r="AF53" i="2" s="1"/>
  <c r="Y53" i="2"/>
  <c r="R53" i="2"/>
  <c r="AF50" i="2"/>
  <c r="Y50" i="2"/>
  <c r="R50" i="2"/>
  <c r="AD49" i="2"/>
  <c r="AF49" i="2" s="1"/>
  <c r="Y49" i="2"/>
  <c r="R49" i="2"/>
  <c r="AD48" i="2"/>
  <c r="AF48" i="2" s="1"/>
  <c r="Y48" i="2"/>
  <c r="R48" i="2"/>
  <c r="AF47" i="2"/>
  <c r="Y47" i="2"/>
  <c r="R47" i="2"/>
  <c r="AC46" i="2"/>
  <c r="AB46" i="2"/>
  <c r="AA46" i="2"/>
  <c r="Z46" i="2"/>
  <c r="X46" i="2"/>
  <c r="T46" i="2"/>
  <c r="O46" i="2"/>
  <c r="M46" i="2"/>
  <c r="AE45" i="2"/>
  <c r="AE165" i="2" s="1"/>
  <c r="AD45" i="2"/>
  <c r="Y45" i="2"/>
  <c r="Q45" i="2"/>
  <c r="R45" i="2" s="1"/>
  <c r="AD44" i="2"/>
  <c r="W44" i="2"/>
  <c r="W46" i="2" s="1"/>
  <c r="V44" i="2"/>
  <c r="V46" i="2" s="1"/>
  <c r="U44" i="2"/>
  <c r="U46" i="2" s="1"/>
  <c r="S44" i="2"/>
  <c r="S46" i="2" s="1"/>
  <c r="Q44" i="2"/>
  <c r="P44" i="2"/>
  <c r="P46" i="2" s="1"/>
  <c r="N44" i="2"/>
  <c r="N46" i="2" s="1"/>
  <c r="L44" i="2"/>
  <c r="L46" i="2" s="1"/>
  <c r="AE41" i="2"/>
  <c r="AD41" i="2"/>
  <c r="AC41" i="2"/>
  <c r="AB41" i="2"/>
  <c r="AA41" i="2"/>
  <c r="Z41" i="2"/>
  <c r="X41" i="2"/>
  <c r="W41" i="2"/>
  <c r="V41" i="2"/>
  <c r="U41" i="2"/>
  <c r="T41" i="2"/>
  <c r="S41" i="2"/>
  <c r="Q41" i="2"/>
  <c r="P41" i="2"/>
  <c r="O41" i="2"/>
  <c r="N41" i="2"/>
  <c r="M41" i="2"/>
  <c r="L41" i="2"/>
  <c r="AF40" i="2"/>
  <c r="Y40" i="2"/>
  <c r="R40" i="2"/>
  <c r="AF39" i="2"/>
  <c r="Y39" i="2"/>
  <c r="AC36" i="2"/>
  <c r="AA36" i="2"/>
  <c r="Z36" i="2"/>
  <c r="X36" i="2"/>
  <c r="W36" i="2"/>
  <c r="V36" i="2"/>
  <c r="U36" i="2"/>
  <c r="T36" i="2"/>
  <c r="S36" i="2"/>
  <c r="Q36" i="2"/>
  <c r="M36" i="2"/>
  <c r="AE35" i="2"/>
  <c r="AD35" i="2"/>
  <c r="AB35" i="2"/>
  <c r="Y35" i="2"/>
  <c r="R35" i="2"/>
  <c r="AE34" i="2"/>
  <c r="AD34" i="2"/>
  <c r="AB34" i="2"/>
  <c r="Y34" i="2"/>
  <c r="P34" i="2"/>
  <c r="P36" i="2" s="1"/>
  <c r="O34" i="2"/>
  <c r="O36" i="2" s="1"/>
  <c r="N34" i="2"/>
  <c r="N36" i="2" s="1"/>
  <c r="L34" i="2"/>
  <c r="X30" i="2"/>
  <c r="W30" i="2"/>
  <c r="V30" i="2"/>
  <c r="U30" i="2"/>
  <c r="T30" i="2"/>
  <c r="S30" i="2"/>
  <c r="AE29" i="2"/>
  <c r="AC29" i="2"/>
  <c r="AB29" i="2"/>
  <c r="AA29" i="2"/>
  <c r="Z29" i="2"/>
  <c r="O29" i="2"/>
  <c r="M29" i="2"/>
  <c r="AC28" i="2"/>
  <c r="AB28" i="2"/>
  <c r="AA28" i="2"/>
  <c r="Z28" i="2"/>
  <c r="Q28" i="2"/>
  <c r="Q30" i="2" s="1"/>
  <c r="M28" i="2"/>
  <c r="AE24" i="2"/>
  <c r="AD24" i="2"/>
  <c r="AC24" i="2"/>
  <c r="AB24" i="2"/>
  <c r="AB25" i="2" s="1"/>
  <c r="AA24" i="2"/>
  <c r="AA25" i="2" s="1"/>
  <c r="Z24" i="2"/>
  <c r="Z25" i="2" s="1"/>
  <c r="X24" i="2"/>
  <c r="W24" i="2"/>
  <c r="V24" i="2"/>
  <c r="U24" i="2"/>
  <c r="U25" i="2" s="1"/>
  <c r="T24" i="2"/>
  <c r="T25" i="2" s="1"/>
  <c r="S24" i="2"/>
  <c r="S25" i="2" s="1"/>
  <c r="Q24" i="2"/>
  <c r="P24" i="2"/>
  <c r="P25" i="2" s="1"/>
  <c r="O24" i="2"/>
  <c r="N24" i="2"/>
  <c r="N25" i="2" s="1"/>
  <c r="M24" i="2"/>
  <c r="M25" i="2" s="1"/>
  <c r="L24" i="2"/>
  <c r="L25" i="2" s="1"/>
  <c r="AF23" i="2"/>
  <c r="Y23" i="2"/>
  <c r="R23" i="2"/>
  <c r="AF22" i="2"/>
  <c r="Y22" i="2"/>
  <c r="R22" i="2"/>
  <c r="AC17" i="2"/>
  <c r="AB17" i="2"/>
  <c r="AA17" i="2"/>
  <c r="AA64" i="2" s="1"/>
  <c r="Z17" i="2"/>
  <c r="Z64" i="2" s="1"/>
  <c r="X17" i="2"/>
  <c r="W17" i="2"/>
  <c r="W64" i="2" s="1"/>
  <c r="V17" i="2"/>
  <c r="V64" i="2" s="1"/>
  <c r="U17" i="2"/>
  <c r="T17" i="2"/>
  <c r="S17" i="2"/>
  <c r="S64" i="2" s="1"/>
  <c r="Q17" i="2"/>
  <c r="E9" i="2" s="1"/>
  <c r="M17" i="2"/>
  <c r="AD16" i="2"/>
  <c r="Y16" i="2"/>
  <c r="P16" i="2"/>
  <c r="P29" i="2" s="1"/>
  <c r="N16" i="2"/>
  <c r="L16" i="2"/>
  <c r="AE15" i="2"/>
  <c r="AD15" i="2"/>
  <c r="Y15" i="2"/>
  <c r="P15" i="2"/>
  <c r="P28" i="2" s="1"/>
  <c r="O15" i="2"/>
  <c r="O28" i="2" s="1"/>
  <c r="N15" i="2"/>
  <c r="N28" i="2" s="1"/>
  <c r="L15" i="2"/>
  <c r="P15" i="3" l="1"/>
  <c r="L15" i="3"/>
  <c r="K30" i="6"/>
  <c r="AD20" i="9"/>
  <c r="AD21" i="9" s="1"/>
  <c r="AD22" i="9" s="1"/>
  <c r="AC20" i="9"/>
  <c r="AC21" i="9" s="1"/>
  <c r="AE20" i="9"/>
  <c r="AE21" i="9" s="1"/>
  <c r="AE22" i="9" s="1"/>
  <c r="AF20" i="9"/>
  <c r="AF21" i="9" s="1"/>
  <c r="AF22" i="9" s="1"/>
  <c r="AG20" i="9"/>
  <c r="AG21" i="9" s="1"/>
  <c r="AG22" i="9" s="1"/>
  <c r="I47" i="3"/>
  <c r="I46" i="3"/>
  <c r="R161" i="2"/>
  <c r="X65" i="2"/>
  <c r="F9" i="2"/>
  <c r="F6" i="2" s="1"/>
  <c r="F10" i="2" s="1"/>
  <c r="L28" i="2"/>
  <c r="R15" i="2"/>
  <c r="R28" i="2" s="1"/>
  <c r="J11" i="19"/>
  <c r="J26" i="19"/>
  <c r="M10" i="19"/>
  <c r="M25" i="19"/>
  <c r="K11" i="19"/>
  <c r="K26" i="19"/>
  <c r="Q25" i="19"/>
  <c r="Q10" i="19"/>
  <c r="U10" i="19"/>
  <c r="U25" i="19"/>
  <c r="U26" i="19"/>
  <c r="U11" i="19"/>
  <c r="V46" i="9"/>
  <c r="Q26" i="19"/>
  <c r="Q11" i="19"/>
  <c r="X46" i="9"/>
  <c r="M69" i="5"/>
  <c r="K48" i="5"/>
  <c r="K51" i="5" s="1"/>
  <c r="N117" i="2"/>
  <c r="N118" i="2" s="1"/>
  <c r="U117" i="2"/>
  <c r="U118" i="2" s="1"/>
  <c r="V117" i="2"/>
  <c r="V118" i="2" s="1"/>
  <c r="M117" i="2"/>
  <c r="M118" i="2" s="1"/>
  <c r="O117" i="2"/>
  <c r="O118" i="2" s="1"/>
  <c r="Q117" i="2"/>
  <c r="Q118" i="2" s="1"/>
  <c r="S117" i="2"/>
  <c r="S118" i="2" s="1"/>
  <c r="T117" i="2"/>
  <c r="T118" i="2" s="1"/>
  <c r="W117" i="2"/>
  <c r="W118" i="2" s="1"/>
  <c r="X117" i="2"/>
  <c r="X118" i="2" s="1"/>
  <c r="Z117" i="2"/>
  <c r="Z118" i="2" s="1"/>
  <c r="AA117" i="2"/>
  <c r="AA118" i="2" s="1"/>
  <c r="AC117" i="2"/>
  <c r="AC118" i="2" s="1"/>
  <c r="AB11" i="9"/>
  <c r="AA21" i="9"/>
  <c r="AA22" i="9" s="1"/>
  <c r="AB22" i="9" s="1"/>
  <c r="J13" i="6"/>
  <c r="N13" i="6" s="1"/>
  <c r="N7" i="6"/>
  <c r="N9" i="6" s="1"/>
  <c r="J24" i="6"/>
  <c r="J28" i="6"/>
  <c r="Y48" i="9"/>
  <c r="V48" i="9"/>
  <c r="J32" i="5"/>
  <c r="J31" i="6"/>
  <c r="J29" i="6"/>
  <c r="K31" i="6"/>
  <c r="K32" i="5"/>
  <c r="Z47" i="9"/>
  <c r="S54" i="6"/>
  <c r="S10" i="6"/>
  <c r="P48" i="5"/>
  <c r="N48" i="5"/>
  <c r="N50" i="5" s="1"/>
  <c r="M67" i="5"/>
  <c r="O32" i="5"/>
  <c r="N59" i="5"/>
  <c r="N61" i="5" s="1"/>
  <c r="O59" i="5"/>
  <c r="O62" i="5" s="1"/>
  <c r="P47" i="4"/>
  <c r="V27" i="4"/>
  <c r="Q47" i="4"/>
  <c r="V47" i="4" s="1"/>
  <c r="T30" i="3"/>
  <c r="AB57" i="9"/>
  <c r="K23" i="6"/>
  <c r="S37" i="6"/>
  <c r="X44" i="6"/>
  <c r="X7" i="6"/>
  <c r="X9" i="6" s="1"/>
  <c r="X40" i="6"/>
  <c r="O24" i="6"/>
  <c r="T24" i="6"/>
  <c r="O28" i="6"/>
  <c r="L54" i="6"/>
  <c r="N54" i="6" s="1"/>
  <c r="S44" i="6"/>
  <c r="U24" i="6"/>
  <c r="U13" i="6"/>
  <c r="L24" i="6"/>
  <c r="T48" i="5"/>
  <c r="L59" i="5"/>
  <c r="J50" i="5"/>
  <c r="S32" i="5"/>
  <c r="U29" i="5"/>
  <c r="U33" i="5" s="1"/>
  <c r="M70" i="5"/>
  <c r="M68" i="5"/>
  <c r="M29" i="5"/>
  <c r="S31" i="5"/>
  <c r="O48" i="5"/>
  <c r="M58" i="5"/>
  <c r="T59" i="5"/>
  <c r="O33" i="5"/>
  <c r="AB27" i="4"/>
  <c r="AB22" i="4"/>
  <c r="AB33" i="4"/>
  <c r="R41" i="4"/>
  <c r="V41" i="4" s="1"/>
  <c r="P33" i="4"/>
  <c r="AB47" i="4"/>
  <c r="O13" i="4"/>
  <c r="P13" i="4" s="1"/>
  <c r="L14" i="4"/>
  <c r="L27" i="4" s="1"/>
  <c r="N21" i="9" s="1"/>
  <c r="N22" i="9" s="1"/>
  <c r="V22" i="4"/>
  <c r="S47" i="3"/>
  <c r="S31" i="6"/>
  <c r="T35" i="9"/>
  <c r="AG49" i="9"/>
  <c r="AG51" i="9" s="1"/>
  <c r="U47" i="9"/>
  <c r="AJ58" i="9"/>
  <c r="U64" i="9"/>
  <c r="AJ48" i="9"/>
  <c r="N27" i="4"/>
  <c r="Q21" i="9" s="1"/>
  <c r="Q22" i="9" s="1"/>
  <c r="R21" i="9"/>
  <c r="R22" i="9" s="1"/>
  <c r="Z46" i="9"/>
  <c r="AB62" i="9"/>
  <c r="AB55" i="9"/>
  <c r="T12" i="9"/>
  <c r="V47" i="9"/>
  <c r="T48" i="9"/>
  <c r="V64" i="9"/>
  <c r="Q58" i="9"/>
  <c r="W64" i="9"/>
  <c r="R49" i="9"/>
  <c r="R50" i="9" s="1"/>
  <c r="X64" i="9"/>
  <c r="T10" i="9"/>
  <c r="Y47" i="9"/>
  <c r="X47" i="9"/>
  <c r="AB61" i="9"/>
  <c r="AF49" i="9"/>
  <c r="AF51" i="9" s="1"/>
  <c r="AH49" i="9"/>
  <c r="AH50" i="9" s="1"/>
  <c r="W47" i="9"/>
  <c r="W49" i="9" s="1"/>
  <c r="Y58" i="9"/>
  <c r="V58" i="9"/>
  <c r="Z58" i="9"/>
  <c r="O64" i="9"/>
  <c r="AJ64" i="9"/>
  <c r="M62" i="2"/>
  <c r="N17" i="2"/>
  <c r="Q65" i="2"/>
  <c r="O30" i="2"/>
  <c r="Y97" i="2"/>
  <c r="AB72" i="2"/>
  <c r="AF35" i="2"/>
  <c r="L139" i="2"/>
  <c r="L142" i="2" s="1"/>
  <c r="X166" i="2"/>
  <c r="X167" i="2" s="1"/>
  <c r="M47" i="3"/>
  <c r="P30" i="3"/>
  <c r="X30" i="3"/>
  <c r="V47" i="3"/>
  <c r="O47" i="3"/>
  <c r="T32" i="3"/>
  <c r="L16" i="3"/>
  <c r="T31" i="3"/>
  <c r="X32" i="3"/>
  <c r="L30" i="3"/>
  <c r="P33" i="3"/>
  <c r="T16" i="3"/>
  <c r="T33" i="3"/>
  <c r="X42" i="3"/>
  <c r="X43" i="3"/>
  <c r="T42" i="3"/>
  <c r="X36" i="3"/>
  <c r="M48" i="3"/>
  <c r="O48" i="3"/>
  <c r="V45" i="3"/>
  <c r="R48" i="3"/>
  <c r="S45" i="3"/>
  <c r="O149" i="8"/>
  <c r="P42" i="3"/>
  <c r="M46" i="3"/>
  <c r="X33" i="3"/>
  <c r="M45" i="3"/>
  <c r="N48" i="3"/>
  <c r="U138" i="8"/>
  <c r="U141" i="8" s="1"/>
  <c r="Q149" i="8"/>
  <c r="O140" i="8"/>
  <c r="O143" i="8" s="1"/>
  <c r="Q142" i="8"/>
  <c r="X15" i="3"/>
  <c r="T38" i="3"/>
  <c r="L18" i="3"/>
  <c r="O45" i="3"/>
  <c r="Q48" i="3"/>
  <c r="V48" i="3"/>
  <c r="U139" i="8"/>
  <c r="U142" i="8" s="1"/>
  <c r="Q140" i="8"/>
  <c r="Q143" i="8" s="1"/>
  <c r="W48" i="3"/>
  <c r="X18" i="3"/>
  <c r="T41" i="3"/>
  <c r="L32" i="3"/>
  <c r="N46" i="3"/>
  <c r="K45" i="3"/>
  <c r="X16" i="3"/>
  <c r="L41" i="3"/>
  <c r="P44" i="3"/>
  <c r="X31" i="3"/>
  <c r="X44" i="3"/>
  <c r="O46" i="3"/>
  <c r="X38" i="3"/>
  <c r="P41" i="3"/>
  <c r="X17" i="3"/>
  <c r="W47" i="3"/>
  <c r="W45" i="3"/>
  <c r="O142" i="8"/>
  <c r="P38" i="3"/>
  <c r="N45" i="3"/>
  <c r="P17" i="3"/>
  <c r="X37" i="3"/>
  <c r="W46" i="3"/>
  <c r="P40" i="3"/>
  <c r="T43" i="3"/>
  <c r="T37" i="3"/>
  <c r="L38" i="3"/>
  <c r="N47" i="3"/>
  <c r="U118" i="8"/>
  <c r="R58" i="9"/>
  <c r="T57" i="9"/>
  <c r="N58" i="9"/>
  <c r="M58" i="9"/>
  <c r="T11" i="9"/>
  <c r="T47" i="9"/>
  <c r="O58" i="9"/>
  <c r="M64" i="9"/>
  <c r="N64" i="9"/>
  <c r="T56" i="9"/>
  <c r="R64" i="9"/>
  <c r="T61" i="9"/>
  <c r="P21" i="4"/>
  <c r="Q51" i="9"/>
  <c r="P58" i="9"/>
  <c r="L22" i="4"/>
  <c r="T19" i="9"/>
  <c r="T63" i="9"/>
  <c r="O49" i="9"/>
  <c r="O52" i="9" s="1"/>
  <c r="T13" i="9"/>
  <c r="N49" i="9"/>
  <c r="N51" i="9" s="1"/>
  <c r="P64" i="9"/>
  <c r="P18" i="4"/>
  <c r="P49" i="9"/>
  <c r="P50" i="9" s="1"/>
  <c r="T146" i="2"/>
  <c r="Y41" i="2"/>
  <c r="Y77" i="2"/>
  <c r="Y127" i="2"/>
  <c r="AA147" i="2"/>
  <c r="AA30" i="2"/>
  <c r="O87" i="2"/>
  <c r="AB166" i="2"/>
  <c r="AB167" i="2" s="1"/>
  <c r="T167" i="2"/>
  <c r="X18" i="2"/>
  <c r="AB30" i="2"/>
  <c r="P88" i="2"/>
  <c r="Y160" i="2"/>
  <c r="Y161" i="2" s="1"/>
  <c r="AC30" i="2"/>
  <c r="R95" i="2"/>
  <c r="R97" i="2" s="1"/>
  <c r="T142" i="2"/>
  <c r="Y29" i="2"/>
  <c r="R55" i="2"/>
  <c r="Y17" i="2"/>
  <c r="Y63" i="2" s="1"/>
  <c r="R41" i="2"/>
  <c r="W72" i="2"/>
  <c r="M72" i="2"/>
  <c r="O90" i="2"/>
  <c r="Y141" i="2"/>
  <c r="Z72" i="2"/>
  <c r="Z71" i="2"/>
  <c r="AD36" i="2"/>
  <c r="AD149" i="2" s="1"/>
  <c r="V72" i="2"/>
  <c r="AF111" i="2"/>
  <c r="Z166" i="2"/>
  <c r="Z167" i="2" s="1"/>
  <c r="AF175" i="2"/>
  <c r="T72" i="2"/>
  <c r="AB36" i="2"/>
  <c r="AB117" i="2" s="1"/>
  <c r="AB118" i="2" s="1"/>
  <c r="AD97" i="2"/>
  <c r="Y130" i="2"/>
  <c r="AF160" i="2"/>
  <c r="AF161" i="2" s="1"/>
  <c r="T184" i="2"/>
  <c r="Y44" i="2"/>
  <c r="Y46" i="2" s="1"/>
  <c r="Z68" i="2"/>
  <c r="Y140" i="2"/>
  <c r="V62" i="2"/>
  <c r="W62" i="2"/>
  <c r="W184" i="2"/>
  <c r="Y24" i="2"/>
  <c r="Y25" i="2" s="1"/>
  <c r="X63" i="2"/>
  <c r="P90" i="2"/>
  <c r="L97" i="2"/>
  <c r="R107" i="2"/>
  <c r="R109" i="2" s="1"/>
  <c r="AE109" i="2"/>
  <c r="AB131" i="2"/>
  <c r="Q166" i="2"/>
  <c r="Q167" i="2" s="1"/>
  <c r="M167" i="2"/>
  <c r="R24" i="2"/>
  <c r="R25" i="2" s="1"/>
  <c r="O17" i="2"/>
  <c r="AF24" i="2"/>
  <c r="AF25" i="2" s="1"/>
  <c r="M30" i="2"/>
  <c r="T131" i="2"/>
  <c r="S72" i="2"/>
  <c r="X72" i="2"/>
  <c r="AF55" i="2"/>
  <c r="Z63" i="2"/>
  <c r="AD82" i="2"/>
  <c r="AD89" i="2" s="1"/>
  <c r="Q90" i="2"/>
  <c r="R129" i="2"/>
  <c r="U131" i="2"/>
  <c r="AA72" i="2"/>
  <c r="AA63" i="2"/>
  <c r="T64" i="2"/>
  <c r="S65" i="2"/>
  <c r="X90" i="2"/>
  <c r="AF108" i="2"/>
  <c r="AF126" i="2"/>
  <c r="Y139" i="2"/>
  <c r="R153" i="2"/>
  <c r="R155" i="2" s="1"/>
  <c r="AC166" i="2"/>
  <c r="AC167" i="2" s="1"/>
  <c r="Z30" i="2"/>
  <c r="X62" i="2"/>
  <c r="AB63" i="2"/>
  <c r="Z65" i="2"/>
  <c r="S71" i="2"/>
  <c r="Y76" i="2"/>
  <c r="Q87" i="2"/>
  <c r="Y107" i="2"/>
  <c r="Y109" i="2" s="1"/>
  <c r="M128" i="2"/>
  <c r="M131" i="2" s="1"/>
  <c r="V133" i="2"/>
  <c r="Z147" i="2"/>
  <c r="AB155" i="2"/>
  <c r="R175" i="2"/>
  <c r="Y183" i="2"/>
  <c r="Z184" i="2"/>
  <c r="V184" i="2"/>
  <c r="L147" i="2"/>
  <c r="R44" i="2"/>
  <c r="R46" i="2" s="1"/>
  <c r="Q46" i="2"/>
  <c r="Q72" i="2" s="1"/>
  <c r="X64" i="2"/>
  <c r="AA65" i="2"/>
  <c r="T71" i="2"/>
  <c r="O89" i="2"/>
  <c r="X87" i="2"/>
  <c r="X88" i="2"/>
  <c r="R127" i="2"/>
  <c r="R132" i="2" s="1"/>
  <c r="W133" i="2"/>
  <c r="AF183" i="2"/>
  <c r="S18" i="2"/>
  <c r="AF41" i="2"/>
  <c r="Y54" i="2"/>
  <c r="Y55" i="2" s="1"/>
  <c r="Q71" i="2"/>
  <c r="AB64" i="2"/>
  <c r="V71" i="2"/>
  <c r="W89" i="2"/>
  <c r="R100" i="2"/>
  <c r="R130" i="2"/>
  <c r="P132" i="2"/>
  <c r="AB184" i="2"/>
  <c r="P30" i="2"/>
  <c r="AB18" i="2"/>
  <c r="T18" i="2"/>
  <c r="S142" i="2"/>
  <c r="U72" i="2"/>
  <c r="AF45" i="2"/>
  <c r="S63" i="2"/>
  <c r="Q89" i="2"/>
  <c r="P109" i="2"/>
  <c r="P117" i="2" s="1"/>
  <c r="P118" i="2" s="1"/>
  <c r="L133" i="2"/>
  <c r="Y164" i="2"/>
  <c r="Y166" i="2" s="1"/>
  <c r="R183" i="2"/>
  <c r="S184" i="2"/>
  <c r="Y36" i="2"/>
  <c r="AF165" i="2"/>
  <c r="T63" i="2"/>
  <c r="AA71" i="2"/>
  <c r="S131" i="2"/>
  <c r="L17" i="2"/>
  <c r="Z18" i="2"/>
  <c r="R34" i="2"/>
  <c r="R36" i="2" s="1"/>
  <c r="AB71" i="2"/>
  <c r="R76" i="2"/>
  <c r="R77" i="2"/>
  <c r="AF95" i="2"/>
  <c r="AF97" i="2" s="1"/>
  <c r="AF129" i="2"/>
  <c r="N148" i="2"/>
  <c r="AA166" i="2"/>
  <c r="AA167" i="2" s="1"/>
  <c r="S167" i="2"/>
  <c r="V167" i="2"/>
  <c r="AA18" i="2"/>
  <c r="M71" i="2"/>
  <c r="AF16" i="2"/>
  <c r="AD29" i="2"/>
  <c r="S87" i="2"/>
  <c r="S90" i="2"/>
  <c r="S88" i="2"/>
  <c r="W128" i="2"/>
  <c r="W147" i="2"/>
  <c r="R138" i="2"/>
  <c r="L141" i="2"/>
  <c r="L148" i="2"/>
  <c r="O13" i="6"/>
  <c r="S13" i="6" s="1"/>
  <c r="S7" i="6"/>
  <c r="S9" i="6" s="1"/>
  <c r="O9" i="6"/>
  <c r="AF15" i="2"/>
  <c r="AF28" i="2" s="1"/>
  <c r="AD17" i="2"/>
  <c r="AD63" i="2" s="1"/>
  <c r="S89" i="2"/>
  <c r="AE17" i="2"/>
  <c r="AE71" i="2" s="1"/>
  <c r="AE28" i="2"/>
  <c r="AE30" i="2" s="1"/>
  <c r="U65" i="2"/>
  <c r="U63" i="2"/>
  <c r="U18" i="2"/>
  <c r="U167" i="2"/>
  <c r="U62" i="2"/>
  <c r="AC65" i="2"/>
  <c r="AC63" i="2"/>
  <c r="AC18" i="2"/>
  <c r="AC72" i="2"/>
  <c r="AC184" i="2"/>
  <c r="AF58" i="2"/>
  <c r="P89" i="2"/>
  <c r="R86" i="2"/>
  <c r="M139" i="2"/>
  <c r="R137" i="2"/>
  <c r="M147" i="2"/>
  <c r="J45" i="3"/>
  <c r="J48" i="3"/>
  <c r="J47" i="3"/>
  <c r="W68" i="2"/>
  <c r="Y68" i="2" s="1"/>
  <c r="W71" i="2"/>
  <c r="U64" i="2"/>
  <c r="V87" i="2"/>
  <c r="V89" i="2"/>
  <c r="P37" i="3"/>
  <c r="P16" i="3"/>
  <c r="T40" i="3"/>
  <c r="T18" i="3"/>
  <c r="K27" i="4"/>
  <c r="M21" i="9" s="1"/>
  <c r="M22" i="9" s="1"/>
  <c r="M140" i="2"/>
  <c r="U90" i="2"/>
  <c r="U88" i="2"/>
  <c r="U89" i="2"/>
  <c r="W132" i="2"/>
  <c r="U149" i="2"/>
  <c r="U142" i="2"/>
  <c r="U146" i="2"/>
  <c r="L42" i="3"/>
  <c r="L17" i="3"/>
  <c r="P17" i="2"/>
  <c r="AC68" i="2"/>
  <c r="AC71" i="2"/>
  <c r="AC62" i="2"/>
  <c r="AE88" i="2"/>
  <c r="AE90" i="2"/>
  <c r="AE87" i="2"/>
  <c r="L87" i="2"/>
  <c r="L90" i="2"/>
  <c r="AE89" i="2"/>
  <c r="V90" i="2"/>
  <c r="U71" i="2"/>
  <c r="R16" i="2"/>
  <c r="R29" i="2" s="1"/>
  <c r="Q63" i="2"/>
  <c r="Q62" i="2"/>
  <c r="Q18" i="2"/>
  <c r="L132" i="2"/>
  <c r="L36" i="2"/>
  <c r="L117" i="2" s="1"/>
  <c r="L118" i="2" s="1"/>
  <c r="AE36" i="2"/>
  <c r="AF34" i="2"/>
  <c r="AE44" i="2"/>
  <c r="AC64" i="2"/>
  <c r="AF80" i="2"/>
  <c r="AF82" i="2" s="1"/>
  <c r="AF90" i="2" s="1"/>
  <c r="M90" i="2"/>
  <c r="M88" i="2"/>
  <c r="M87" i="2"/>
  <c r="M89" i="2"/>
  <c r="Z89" i="2"/>
  <c r="Z87" i="2"/>
  <c r="Z88" i="2"/>
  <c r="N128" i="2"/>
  <c r="N131" i="2" s="1"/>
  <c r="R126" i="2"/>
  <c r="AB132" i="2"/>
  <c r="AB128" i="2"/>
  <c r="N132" i="2"/>
  <c r="Z148" i="2"/>
  <c r="R165" i="2"/>
  <c r="R166" i="2" s="1"/>
  <c r="P36" i="3"/>
  <c r="L33" i="3"/>
  <c r="P32" i="3"/>
  <c r="P43" i="3"/>
  <c r="Q45" i="3"/>
  <c r="Q47" i="3"/>
  <c r="N22" i="4"/>
  <c r="AD28" i="2"/>
  <c r="Z128" i="2"/>
  <c r="Z133" i="2" s="1"/>
  <c r="Z132" i="2"/>
  <c r="P68" i="2"/>
  <c r="R80" i="2"/>
  <c r="R82" i="2" s="1"/>
  <c r="R90" i="2" s="1"/>
  <c r="AA87" i="2"/>
  <c r="AA90" i="2"/>
  <c r="AA89" i="2"/>
  <c r="L89" i="2"/>
  <c r="Z90" i="2"/>
  <c r="V128" i="2"/>
  <c r="V132" i="2"/>
  <c r="V147" i="2"/>
  <c r="Y126" i="2"/>
  <c r="Y131" i="2" s="1"/>
  <c r="AF127" i="2"/>
  <c r="AC149" i="2"/>
  <c r="AC133" i="2"/>
  <c r="AC130" i="2"/>
  <c r="AF130" i="2" s="1"/>
  <c r="AF138" i="2"/>
  <c r="M148" i="2"/>
  <c r="T36" i="3"/>
  <c r="T15" i="3"/>
  <c r="R47" i="3"/>
  <c r="R46" i="3"/>
  <c r="R45" i="3"/>
  <c r="Y28" i="2"/>
  <c r="AD109" i="2"/>
  <c r="AF107" i="2"/>
  <c r="R112" i="2"/>
  <c r="AB147" i="2"/>
  <c r="AB139" i="2"/>
  <c r="AF137" i="2"/>
  <c r="AB141" i="2"/>
  <c r="AB148" i="2"/>
  <c r="Y154" i="2"/>
  <c r="Y175" i="2"/>
  <c r="L36" i="3"/>
  <c r="U48" i="3"/>
  <c r="I48" i="3"/>
  <c r="I45" i="3"/>
  <c r="V10" i="4"/>
  <c r="N32" i="5"/>
  <c r="N31" i="5"/>
  <c r="N33" i="5"/>
  <c r="P28" i="6"/>
  <c r="P29" i="6"/>
  <c r="P24" i="6"/>
  <c r="M65" i="2"/>
  <c r="M63" i="2"/>
  <c r="M18" i="2"/>
  <c r="V65" i="2"/>
  <c r="V63" i="2"/>
  <c r="V18" i="2"/>
  <c r="AD55" i="2"/>
  <c r="AB87" i="2"/>
  <c r="AB90" i="2"/>
  <c r="W87" i="2"/>
  <c r="W90" i="2"/>
  <c r="AA97" i="2"/>
  <c r="N139" i="2"/>
  <c r="N147" i="2"/>
  <c r="U155" i="2"/>
  <c r="S155" i="2"/>
  <c r="W167" i="2"/>
  <c r="L43" i="3"/>
  <c r="L31" i="3"/>
  <c r="L37" i="3"/>
  <c r="L46" i="3" s="1"/>
  <c r="L44" i="3"/>
  <c r="U46" i="3"/>
  <c r="S48" i="3"/>
  <c r="X40" i="3"/>
  <c r="K48" i="3"/>
  <c r="W63" i="2"/>
  <c r="W18" i="2"/>
  <c r="AE68" i="2"/>
  <c r="W65" i="2"/>
  <c r="Y80" i="2"/>
  <c r="Y82" i="2" s="1"/>
  <c r="Y90" i="2" s="1"/>
  <c r="AC90" i="2"/>
  <c r="AC88" i="2"/>
  <c r="N89" i="2"/>
  <c r="AB89" i="2"/>
  <c r="AA128" i="2"/>
  <c r="AA133" i="2" s="1"/>
  <c r="S146" i="2"/>
  <c r="Y153" i="2"/>
  <c r="U184" i="2"/>
  <c r="M184" i="2"/>
  <c r="T17" i="3"/>
  <c r="P31" i="3"/>
  <c r="U47" i="3"/>
  <c r="K47" i="3"/>
  <c r="AA56" i="8"/>
  <c r="AA9" i="8"/>
  <c r="AA55" i="8"/>
  <c r="AA54" i="8"/>
  <c r="AA53" i="8"/>
  <c r="P10" i="4"/>
  <c r="N29" i="2"/>
  <c r="N30" i="2" s="1"/>
  <c r="AD46" i="2"/>
  <c r="O68" i="2"/>
  <c r="X71" i="2"/>
  <c r="AF57" i="2"/>
  <c r="M64" i="2"/>
  <c r="T87" i="2"/>
  <c r="T90" i="2"/>
  <c r="N87" i="2"/>
  <c r="T88" i="2"/>
  <c r="AC89" i="2"/>
  <c r="N90" i="2"/>
  <c r="L128" i="2"/>
  <c r="P131" i="2"/>
  <c r="T149" i="2"/>
  <c r="AF152" i="2"/>
  <c r="AF155" i="2" s="1"/>
  <c r="T44" i="3"/>
  <c r="U45" i="3"/>
  <c r="Q29" i="5"/>
  <c r="P59" i="5"/>
  <c r="AG180" i="8"/>
  <c r="AG196" i="8"/>
  <c r="AG198" i="8" s="1"/>
  <c r="AG66" i="8"/>
  <c r="AG55" i="8"/>
  <c r="AG67" i="8"/>
  <c r="AG53" i="8"/>
  <c r="AG9" i="8"/>
  <c r="AG56" i="8"/>
  <c r="N37" i="8"/>
  <c r="N60" i="8" s="1"/>
  <c r="AJ67" i="8"/>
  <c r="AJ55" i="8"/>
  <c r="AB46" i="8"/>
  <c r="U196" i="8"/>
  <c r="L140" i="2"/>
  <c r="R59" i="5"/>
  <c r="R48" i="5"/>
  <c r="S40" i="6"/>
  <c r="P196" i="8"/>
  <c r="P9" i="8"/>
  <c r="P55" i="8"/>
  <c r="P53" i="8"/>
  <c r="P56" i="8"/>
  <c r="Y196" i="8"/>
  <c r="Y55" i="8"/>
  <c r="Y9" i="8"/>
  <c r="AB15" i="8"/>
  <c r="AB16" i="8" s="1"/>
  <c r="Y113" i="8"/>
  <c r="Y114" i="8" s="1"/>
  <c r="Y124" i="8"/>
  <c r="U35" i="8"/>
  <c r="U37" i="8" s="1"/>
  <c r="U60" i="8" s="1"/>
  <c r="V63" i="8"/>
  <c r="V59" i="8"/>
  <c r="Y54" i="8"/>
  <c r="Y56" i="8"/>
  <c r="W80" i="8"/>
  <c r="W81" i="8"/>
  <c r="W79" i="8"/>
  <c r="W82" i="8"/>
  <c r="P180" i="8"/>
  <c r="G196" i="8"/>
  <c r="G55" i="8"/>
  <c r="G180" i="8"/>
  <c r="G9" i="8"/>
  <c r="G54" i="8"/>
  <c r="Q180" i="8"/>
  <c r="Q55" i="8"/>
  <c r="Q9" i="8"/>
  <c r="Q54" i="8"/>
  <c r="Q56" i="8"/>
  <c r="AI180" i="8"/>
  <c r="AI196" i="8"/>
  <c r="AI198" i="8" s="1"/>
  <c r="AI67" i="8"/>
  <c r="AI66" i="8"/>
  <c r="AI55" i="8"/>
  <c r="AI54" i="8"/>
  <c r="AI60" i="8"/>
  <c r="AI56" i="8"/>
  <c r="AI53" i="8"/>
  <c r="AC109" i="8"/>
  <c r="AC114" i="8"/>
  <c r="AC113" i="8" s="1"/>
  <c r="AJ27" i="8"/>
  <c r="H196" i="8"/>
  <c r="H180" i="8"/>
  <c r="H9" i="8"/>
  <c r="H56" i="8"/>
  <c r="H53" i="8"/>
  <c r="H55" i="8"/>
  <c r="H54" i="8"/>
  <c r="N149" i="8"/>
  <c r="N27" i="8"/>
  <c r="G56" i="8"/>
  <c r="Q81" i="8"/>
  <c r="Q82" i="8"/>
  <c r="Q80" i="8"/>
  <c r="Q79" i="8"/>
  <c r="R149" i="8"/>
  <c r="R124" i="8"/>
  <c r="R119" i="8"/>
  <c r="AA19" i="8"/>
  <c r="AA21" i="8" s="1"/>
  <c r="AB6" i="8"/>
  <c r="AB19" i="8" s="1"/>
  <c r="Y63" i="8"/>
  <c r="Y59" i="8"/>
  <c r="L29" i="2"/>
  <c r="Z62" i="2"/>
  <c r="T65" i="2"/>
  <c r="AB65" i="2"/>
  <c r="Z139" i="2"/>
  <c r="AA148" i="2"/>
  <c r="S149" i="2"/>
  <c r="P18" i="3"/>
  <c r="Q46" i="3"/>
  <c r="V15" i="4"/>
  <c r="X41" i="4"/>
  <c r="AB41" i="4" s="1"/>
  <c r="M45" i="5"/>
  <c r="S48" i="5"/>
  <c r="S59" i="5"/>
  <c r="X31" i="6"/>
  <c r="AD21" i="8"/>
  <c r="G53" i="8"/>
  <c r="R82" i="8"/>
  <c r="R79" i="8"/>
  <c r="R81" i="8"/>
  <c r="R80" i="8"/>
  <c r="AA82" i="8"/>
  <c r="AA79" i="8"/>
  <c r="AA81" i="8"/>
  <c r="AA80" i="8"/>
  <c r="S62" i="2"/>
  <c r="AA62" i="2"/>
  <c r="AA131" i="2"/>
  <c r="AA139" i="2"/>
  <c r="AA184" i="2"/>
  <c r="L40" i="3"/>
  <c r="AB10" i="4"/>
  <c r="AB15" i="4"/>
  <c r="P19" i="4"/>
  <c r="R33" i="5"/>
  <c r="R31" i="5"/>
  <c r="Q45" i="5"/>
  <c r="J59" i="5"/>
  <c r="J61" i="5" s="1"/>
  <c r="J48" i="5"/>
  <c r="N51" i="5"/>
  <c r="Q58" i="5"/>
  <c r="J9" i="6"/>
  <c r="J35" i="6"/>
  <c r="T54" i="6"/>
  <c r="X54" i="6" s="1"/>
  <c r="AI9" i="8"/>
  <c r="AA35" i="8"/>
  <c r="U59" i="8"/>
  <c r="G63" i="8"/>
  <c r="N63" i="8" s="1"/>
  <c r="G59" i="8"/>
  <c r="Q63" i="8"/>
  <c r="Q59" i="8"/>
  <c r="Q53" i="8"/>
  <c r="M63" i="8"/>
  <c r="H109" i="8"/>
  <c r="H113" i="8"/>
  <c r="H114" i="8" s="1"/>
  <c r="AE150" i="8"/>
  <c r="AE143" i="8"/>
  <c r="AE147" i="8"/>
  <c r="T62" i="2"/>
  <c r="AB62" i="2"/>
  <c r="S46" i="3"/>
  <c r="V46" i="3"/>
  <c r="AB20" i="9"/>
  <c r="V30" i="4"/>
  <c r="V33" i="4" s="1"/>
  <c r="U45" i="5"/>
  <c r="U48" i="5" s="1"/>
  <c r="K59" i="5"/>
  <c r="K61" i="5" s="1"/>
  <c r="K50" i="5"/>
  <c r="N10" i="6"/>
  <c r="V13" i="6"/>
  <c r="V10" i="6"/>
  <c r="X10" i="6" s="1"/>
  <c r="N18" i="6"/>
  <c r="N30" i="6" s="1"/>
  <c r="U9" i="8"/>
  <c r="G60" i="8"/>
  <c r="H63" i="8"/>
  <c r="H59" i="8"/>
  <c r="P54" i="8"/>
  <c r="Q109" i="8"/>
  <c r="AD114" i="8"/>
  <c r="AD113" i="8" s="1"/>
  <c r="P140" i="8"/>
  <c r="P148" i="8"/>
  <c r="P141" i="8"/>
  <c r="X53" i="8"/>
  <c r="X9" i="8"/>
  <c r="X56" i="8"/>
  <c r="AF66" i="8"/>
  <c r="AF54" i="8"/>
  <c r="AF53" i="8"/>
  <c r="AF9" i="8"/>
  <c r="N9" i="8"/>
  <c r="M37" i="8"/>
  <c r="M60" i="8" s="1"/>
  <c r="P60" i="8"/>
  <c r="U56" i="8"/>
  <c r="T53" i="8"/>
  <c r="AJ66" i="8"/>
  <c r="U72" i="8"/>
  <c r="U74" i="8" s="1"/>
  <c r="U81" i="8" s="1"/>
  <c r="O74" i="8"/>
  <c r="U82" i="8"/>
  <c r="U109" i="8"/>
  <c r="N109" i="8"/>
  <c r="AF180" i="8"/>
  <c r="S23" i="6"/>
  <c r="S180" i="8"/>
  <c r="S56" i="8"/>
  <c r="S53" i="8"/>
  <c r="AF150" i="8"/>
  <c r="AF143" i="8"/>
  <c r="N54" i="8"/>
  <c r="AJ59" i="8"/>
  <c r="U55" i="8"/>
  <c r="J53" i="8"/>
  <c r="AF56" i="8"/>
  <c r="S82" i="8"/>
  <c r="S79" i="8"/>
  <c r="S81" i="8"/>
  <c r="S80" i="8"/>
  <c r="U79" i="8"/>
  <c r="U80" i="8"/>
  <c r="AB103" i="8"/>
  <c r="W119" i="8"/>
  <c r="W148" i="8"/>
  <c r="W122" i="8"/>
  <c r="AB117" i="8"/>
  <c r="I147" i="8"/>
  <c r="I122" i="8"/>
  <c r="I150" i="8"/>
  <c r="P149" i="8"/>
  <c r="P142" i="8"/>
  <c r="N143" i="8"/>
  <c r="N150" i="8"/>
  <c r="X23" i="6"/>
  <c r="X30" i="6"/>
  <c r="N21" i="6"/>
  <c r="T28" i="6"/>
  <c r="J196" i="8"/>
  <c r="J180" i="8"/>
  <c r="J56" i="8"/>
  <c r="J55" i="8"/>
  <c r="J54" i="8"/>
  <c r="T56" i="8"/>
  <c r="T55" i="8"/>
  <c r="T54" i="8"/>
  <c r="J9" i="8"/>
  <c r="AG60" i="8"/>
  <c r="Z53" i="8"/>
  <c r="AB47" i="8"/>
  <c r="AB49" i="8"/>
  <c r="Z55" i="8"/>
  <c r="S54" i="8"/>
  <c r="AF60" i="8"/>
  <c r="AB74" i="8"/>
  <c r="AB81" i="8" s="1"/>
  <c r="I81" i="8"/>
  <c r="I82" i="8"/>
  <c r="I80" i="8"/>
  <c r="I79" i="8"/>
  <c r="N119" i="8"/>
  <c r="N123" i="8"/>
  <c r="N148" i="8"/>
  <c r="U28" i="6"/>
  <c r="S30" i="6"/>
  <c r="K196" i="8"/>
  <c r="K56" i="8"/>
  <c r="K55" i="8"/>
  <c r="K54" i="8"/>
  <c r="K60" i="8"/>
  <c r="K9" i="8"/>
  <c r="U15" i="8"/>
  <c r="U16" i="8" s="1"/>
  <c r="U19" i="8"/>
  <c r="U21" i="8" s="1"/>
  <c r="AC21" i="8"/>
  <c r="Z27" i="8"/>
  <c r="AB25" i="8"/>
  <c r="AB27" i="8" s="1"/>
  <c r="AB109" i="8" s="1"/>
  <c r="X60" i="8"/>
  <c r="AE59" i="8"/>
  <c r="AE63" i="8"/>
  <c r="AJ63" i="8" s="1"/>
  <c r="X54" i="8"/>
  <c r="AF55" i="8"/>
  <c r="J82" i="8"/>
  <c r="J81" i="8"/>
  <c r="AE80" i="8"/>
  <c r="AE81" i="8"/>
  <c r="AE79" i="8"/>
  <c r="AJ79" i="8"/>
  <c r="N113" i="8"/>
  <c r="N114" i="8" s="1"/>
  <c r="AG147" i="8"/>
  <c r="AG124" i="8"/>
  <c r="AG120" i="8"/>
  <c r="AJ120" i="8" s="1"/>
  <c r="P122" i="8"/>
  <c r="I196" i="8"/>
  <c r="I53" i="8"/>
  <c r="AH53" i="8"/>
  <c r="AH67" i="8"/>
  <c r="AE114" i="8"/>
  <c r="AE113" i="8" s="1"/>
  <c r="AE109" i="8"/>
  <c r="Z46" i="8"/>
  <c r="K82" i="8"/>
  <c r="K79" i="8"/>
  <c r="K81" i="8"/>
  <c r="K80" i="8"/>
  <c r="AA109" i="8"/>
  <c r="P109" i="8"/>
  <c r="Y109" i="8"/>
  <c r="U117" i="8"/>
  <c r="O123" i="8"/>
  <c r="O148" i="8"/>
  <c r="O119" i="8"/>
  <c r="O122" i="8" s="1"/>
  <c r="AJ196" i="8"/>
  <c r="R196" i="8"/>
  <c r="AC196" i="8"/>
  <c r="AC198" i="8" s="1"/>
  <c r="AC54" i="8"/>
  <c r="AC67" i="8"/>
  <c r="Z20" i="8"/>
  <c r="Z21" i="8" s="1"/>
  <c r="U54" i="8"/>
  <c r="M53" i="8"/>
  <c r="V53" i="8"/>
  <c r="AE53" i="8"/>
  <c r="AD54" i="8"/>
  <c r="I55" i="8"/>
  <c r="AC55" i="8"/>
  <c r="R56" i="8"/>
  <c r="AI59" i="8"/>
  <c r="O63" i="8"/>
  <c r="AG81" i="8"/>
  <c r="AG82" i="8"/>
  <c r="AG80" i="8"/>
  <c r="W109" i="8"/>
  <c r="X149" i="8"/>
  <c r="Y150" i="8"/>
  <c r="AI147" i="8"/>
  <c r="AI124" i="8"/>
  <c r="AI120" i="8"/>
  <c r="AI121" i="8" s="1"/>
  <c r="X140" i="8"/>
  <c r="X148" i="8"/>
  <c r="X141" i="8"/>
  <c r="AJ143" i="8"/>
  <c r="U180" i="8"/>
  <c r="AB7" i="8"/>
  <c r="AD198" i="8"/>
  <c r="S46" i="8"/>
  <c r="W53" i="8"/>
  <c r="V54" i="8"/>
  <c r="AD55" i="8"/>
  <c r="I56" i="8"/>
  <c r="AC56" i="8"/>
  <c r="R59" i="8"/>
  <c r="AA59" i="8"/>
  <c r="AC66" i="8"/>
  <c r="G80" i="8"/>
  <c r="G81" i="8"/>
  <c r="G79" i="8"/>
  <c r="Y81" i="8"/>
  <c r="Y82" i="8"/>
  <c r="Y80" i="8"/>
  <c r="AG79" i="8"/>
  <c r="AH81" i="8"/>
  <c r="Z89" i="8"/>
  <c r="AB87" i="8"/>
  <c r="AB89" i="8" s="1"/>
  <c r="S148" i="8"/>
  <c r="S119" i="8"/>
  <c r="S123" i="8"/>
  <c r="AJ123" i="8"/>
  <c r="AJ149" i="8"/>
  <c r="X180" i="8"/>
  <c r="K180" i="8"/>
  <c r="Z180" i="8"/>
  <c r="W198" i="8"/>
  <c r="AE180" i="8"/>
  <c r="AE66" i="8"/>
  <c r="I9" i="8"/>
  <c r="R9" i="8"/>
  <c r="AH9" i="8"/>
  <c r="AJ32" i="8"/>
  <c r="O53" i="8"/>
  <c r="W54" i="8"/>
  <c r="AE55" i="8"/>
  <c r="AD56" i="8"/>
  <c r="I59" i="8"/>
  <c r="AD66" i="8"/>
  <c r="AD67" i="8"/>
  <c r="AI82" i="8"/>
  <c r="AI79" i="8"/>
  <c r="AI81" i="8"/>
  <c r="AH79" i="8"/>
  <c r="AH80" i="8"/>
  <c r="AB142" i="8"/>
  <c r="AB149" i="8"/>
  <c r="Y180" i="8"/>
  <c r="AC180" i="8"/>
  <c r="M82" i="8"/>
  <c r="AC82" i="8"/>
  <c r="G147" i="8"/>
  <c r="G122" i="8"/>
  <c r="G150" i="8"/>
  <c r="V119" i="8"/>
  <c r="V124" i="8" s="1"/>
  <c r="N141" i="8"/>
  <c r="AC147" i="8"/>
  <c r="AC150" i="8"/>
  <c r="AC143" i="8"/>
  <c r="AC172" i="8"/>
  <c r="W180" i="8"/>
  <c r="AB178" i="8"/>
  <c r="Q196" i="8"/>
  <c r="M80" i="8"/>
  <c r="AC80" i="8"/>
  <c r="K109" i="8"/>
  <c r="S109" i="8"/>
  <c r="AJ148" i="8"/>
  <c r="AB118" i="8"/>
  <c r="AB123" i="8" s="1"/>
  <c r="V123" i="8"/>
  <c r="AJ119" i="8"/>
  <c r="AJ124" i="8" s="1"/>
  <c r="AD124" i="8"/>
  <c r="AG150" i="8"/>
  <c r="U174" i="8"/>
  <c r="N180" i="8"/>
  <c r="AJ180" i="8"/>
  <c r="AB73" i="8"/>
  <c r="Q123" i="8"/>
  <c r="Q148" i="8"/>
  <c r="Q119" i="8"/>
  <c r="AC124" i="8"/>
  <c r="V140" i="8"/>
  <c r="AB138" i="8"/>
  <c r="AH150" i="8"/>
  <c r="AH143" i="8"/>
  <c r="V141" i="8"/>
  <c r="V148" i="8"/>
  <c r="AB156" i="8"/>
  <c r="U155" i="8"/>
  <c r="AB174" i="8"/>
  <c r="T180" i="8"/>
  <c r="X196" i="8"/>
  <c r="X198" i="8" s="1"/>
  <c r="AH196" i="8"/>
  <c r="AJ109" i="8"/>
  <c r="P123" i="8"/>
  <c r="V149" i="8"/>
  <c r="V142" i="8"/>
  <c r="W143" i="8"/>
  <c r="R180" i="8"/>
  <c r="N196" i="8"/>
  <c r="O196" i="8"/>
  <c r="AC173" i="8"/>
  <c r="T8" i="9"/>
  <c r="U46" i="9"/>
  <c r="U58" i="9"/>
  <c r="AD172" i="8"/>
  <c r="AD174" i="8" s="1"/>
  <c r="U48" i="9"/>
  <c r="AB56" i="9"/>
  <c r="T62" i="9"/>
  <c r="AC49" i="9"/>
  <c r="AC51" i="9" s="1"/>
  <c r="Q50" i="9"/>
  <c r="T55" i="9"/>
  <c r="X58" i="9"/>
  <c r="Y64" i="9"/>
  <c r="H150" i="8"/>
  <c r="U153" i="8"/>
  <c r="U156" i="8" s="1"/>
  <c r="AB154" i="8"/>
  <c r="Y46" i="9"/>
  <c r="AD49" i="9"/>
  <c r="AD52" i="9" s="1"/>
  <c r="Z64" i="9"/>
  <c r="AD143" i="8"/>
  <c r="AD150" i="8"/>
  <c r="AJ46" i="9"/>
  <c r="M49" i="9"/>
  <c r="AE49" i="9"/>
  <c r="AE51" i="9" s="1"/>
  <c r="AB63" i="9"/>
  <c r="T46" i="9"/>
  <c r="AJ47" i="9"/>
  <c r="J51" i="5" l="1"/>
  <c r="M51" i="5"/>
  <c r="AJ20" i="9"/>
  <c r="R131" i="2"/>
  <c r="L30" i="2"/>
  <c r="I54" i="3" s="1"/>
  <c r="Y148" i="2"/>
  <c r="Y132" i="2"/>
  <c r="AD117" i="2"/>
  <c r="AD118" i="2" s="1"/>
  <c r="J54" i="3"/>
  <c r="K54" i="3"/>
  <c r="M11" i="19"/>
  <c r="M26" i="19"/>
  <c r="X49" i="9"/>
  <c r="X50" i="9" s="1"/>
  <c r="M33" i="5"/>
  <c r="Q51" i="5"/>
  <c r="V49" i="9"/>
  <c r="Y117" i="2"/>
  <c r="Y118" i="2" s="1"/>
  <c r="AE117" i="2"/>
  <c r="AE118" i="2" s="1"/>
  <c r="R117" i="2"/>
  <c r="R118" i="2" s="1"/>
  <c r="T49" i="9"/>
  <c r="T50" i="9" s="1"/>
  <c r="K24" i="6"/>
  <c r="K28" i="6"/>
  <c r="K29" i="6"/>
  <c r="K62" i="5"/>
  <c r="J62" i="5"/>
  <c r="AG50" i="9"/>
  <c r="Z49" i="9"/>
  <c r="Z50" i="9" s="1"/>
  <c r="Q61" i="5"/>
  <c r="O51" i="9"/>
  <c r="N62" i="5"/>
  <c r="O61" i="5"/>
  <c r="Q62" i="5"/>
  <c r="U31" i="5"/>
  <c r="M31" i="5"/>
  <c r="U32" i="5"/>
  <c r="Q59" i="5"/>
  <c r="T47" i="3"/>
  <c r="AH51" i="9"/>
  <c r="AH52" i="9"/>
  <c r="M32" i="5"/>
  <c r="AG52" i="9"/>
  <c r="X13" i="6"/>
  <c r="O51" i="5"/>
  <c r="M59" i="5"/>
  <c r="Q50" i="5"/>
  <c r="O50" i="5"/>
  <c r="U59" i="5"/>
  <c r="M48" i="5"/>
  <c r="O27" i="4"/>
  <c r="S21" i="9" s="1"/>
  <c r="S22" i="9" s="1"/>
  <c r="O15" i="4"/>
  <c r="P14" i="4"/>
  <c r="P15" i="4" s="1"/>
  <c r="L15" i="4"/>
  <c r="N63" i="2"/>
  <c r="U148" i="8"/>
  <c r="Y142" i="2"/>
  <c r="N167" i="2"/>
  <c r="R52" i="9"/>
  <c r="R51" i="9"/>
  <c r="AB64" i="9"/>
  <c r="AC52" i="9"/>
  <c r="W51" i="9"/>
  <c r="W50" i="9"/>
  <c r="W52" i="9"/>
  <c r="N50" i="9"/>
  <c r="AB47" i="9"/>
  <c r="T64" i="9"/>
  <c r="N52" i="9"/>
  <c r="T58" i="9"/>
  <c r="AF52" i="9"/>
  <c r="AF50" i="9"/>
  <c r="N62" i="2"/>
  <c r="N72" i="2"/>
  <c r="N18" i="2"/>
  <c r="N65" i="2"/>
  <c r="N71" i="2"/>
  <c r="N64" i="2"/>
  <c r="N184" i="2"/>
  <c r="O64" i="2"/>
  <c r="P167" i="2"/>
  <c r="L63" i="2"/>
  <c r="AF132" i="2"/>
  <c r="AF36" i="2"/>
  <c r="AF109" i="2"/>
  <c r="L167" i="2"/>
  <c r="Y167" i="2"/>
  <c r="Y184" i="2"/>
  <c r="O167" i="2"/>
  <c r="AD88" i="2"/>
  <c r="X46" i="3"/>
  <c r="X48" i="3"/>
  <c r="X47" i="3"/>
  <c r="X45" i="3"/>
  <c r="U149" i="8"/>
  <c r="P48" i="3"/>
  <c r="U140" i="8"/>
  <c r="U143" i="8" s="1"/>
  <c r="P47" i="3"/>
  <c r="T45" i="3"/>
  <c r="Q147" i="8"/>
  <c r="O151" i="8"/>
  <c r="T46" i="3"/>
  <c r="U124" i="8"/>
  <c r="L45" i="3"/>
  <c r="L48" i="3"/>
  <c r="O150" i="8"/>
  <c r="P45" i="3"/>
  <c r="T48" i="3"/>
  <c r="P51" i="9"/>
  <c r="P52" i="9"/>
  <c r="AB21" i="9"/>
  <c r="O50" i="9"/>
  <c r="Y64" i="2"/>
  <c r="O71" i="2"/>
  <c r="O65" i="2"/>
  <c r="Y65" i="2"/>
  <c r="Y18" i="2"/>
  <c r="Y72" i="2"/>
  <c r="O62" i="2"/>
  <c r="O184" i="2"/>
  <c r="Y62" i="2"/>
  <c r="O18" i="2"/>
  <c r="AD72" i="2"/>
  <c r="L131" i="2"/>
  <c r="O63" i="2"/>
  <c r="Y71" i="2"/>
  <c r="Y155" i="2"/>
  <c r="R87" i="2"/>
  <c r="L71" i="2"/>
  <c r="AD30" i="2"/>
  <c r="AB133" i="2"/>
  <c r="AF17" i="2"/>
  <c r="AF63" i="2" s="1"/>
  <c r="Y30" i="2"/>
  <c r="L64" i="2"/>
  <c r="AD90" i="2"/>
  <c r="AD64" i="2"/>
  <c r="AD184" i="2"/>
  <c r="O72" i="2"/>
  <c r="R68" i="2"/>
  <c r="AD87" i="2"/>
  <c r="AF89" i="2"/>
  <c r="R30" i="2"/>
  <c r="R151" i="2" s="1"/>
  <c r="L72" i="2"/>
  <c r="R17" i="2"/>
  <c r="L184" i="2"/>
  <c r="L65" i="2"/>
  <c r="L62" i="2"/>
  <c r="L18" i="2"/>
  <c r="Z113" i="8"/>
  <c r="Z114" i="8" s="1"/>
  <c r="Z124" i="8"/>
  <c r="Z150" i="8"/>
  <c r="AB46" i="9"/>
  <c r="U49" i="9"/>
  <c r="U50" i="9" s="1"/>
  <c r="AB79" i="8"/>
  <c r="AG121" i="8"/>
  <c r="AJ121" i="8" s="1"/>
  <c r="W124" i="8"/>
  <c r="W147" i="8"/>
  <c r="O80" i="8"/>
  <c r="O81" i="8"/>
  <c r="O79" i="8"/>
  <c r="O82" i="8"/>
  <c r="Z109" i="8"/>
  <c r="M50" i="5"/>
  <c r="V146" i="2"/>
  <c r="V149" i="2"/>
  <c r="V131" i="2"/>
  <c r="L47" i="3"/>
  <c r="R148" i="2"/>
  <c r="R141" i="2"/>
  <c r="P151" i="8"/>
  <c r="P143" i="8"/>
  <c r="P150" i="8"/>
  <c r="P147" i="8"/>
  <c r="V150" i="8"/>
  <c r="V147" i="8"/>
  <c r="V143" i="8"/>
  <c r="AB113" i="8"/>
  <c r="AB114" i="8" s="1"/>
  <c r="M22" i="4"/>
  <c r="AJ49" i="9"/>
  <c r="AJ52" i="9" s="1"/>
  <c r="AB58" i="9"/>
  <c r="AE52" i="9"/>
  <c r="AH198" i="8"/>
  <c r="N122" i="8"/>
  <c r="N124" i="8"/>
  <c r="AC22" i="9"/>
  <c r="AJ22" i="9" s="1"/>
  <c r="AJ21" i="9"/>
  <c r="M61" i="5"/>
  <c r="M62" i="5"/>
  <c r="S61" i="5"/>
  <c r="S62" i="5"/>
  <c r="R51" i="5"/>
  <c r="U51" i="5"/>
  <c r="U50" i="5"/>
  <c r="R50" i="5"/>
  <c r="AF88" i="2"/>
  <c r="P184" i="2"/>
  <c r="P64" i="2"/>
  <c r="P63" i="2"/>
  <c r="P62" i="2"/>
  <c r="P65" i="2"/>
  <c r="P18" i="2"/>
  <c r="L146" i="2"/>
  <c r="P71" i="2"/>
  <c r="R89" i="2"/>
  <c r="L149" i="2"/>
  <c r="AB55" i="8"/>
  <c r="J40" i="6"/>
  <c r="N35" i="6"/>
  <c r="J37" i="6"/>
  <c r="N37" i="6" s="1"/>
  <c r="S50" i="5"/>
  <c r="S51" i="5"/>
  <c r="U61" i="5"/>
  <c r="U62" i="5"/>
  <c r="R61" i="5"/>
  <c r="R62" i="5"/>
  <c r="P25" i="4"/>
  <c r="AE63" i="2"/>
  <c r="AE18" i="2"/>
  <c r="AE62" i="2"/>
  <c r="AE64" i="2"/>
  <c r="AE65" i="2"/>
  <c r="P72" i="2"/>
  <c r="AF87" i="2"/>
  <c r="AD50" i="9"/>
  <c r="AJ150" i="8"/>
  <c r="U123" i="8"/>
  <c r="U119" i="8"/>
  <c r="U122" i="8" s="1"/>
  <c r="AB53" i="8"/>
  <c r="X29" i="6"/>
  <c r="X28" i="6"/>
  <c r="N31" i="6"/>
  <c r="M15" i="4"/>
  <c r="R128" i="2"/>
  <c r="Q48" i="5"/>
  <c r="R88" i="2"/>
  <c r="Y88" i="2"/>
  <c r="Q122" i="8"/>
  <c r="Q150" i="8"/>
  <c r="M52" i="9"/>
  <c r="M51" i="9"/>
  <c r="M50" i="9"/>
  <c r="O147" i="8"/>
  <c r="S63" i="8"/>
  <c r="U63" i="8" s="1"/>
  <c r="S59" i="8"/>
  <c r="AJ147" i="8"/>
  <c r="Z63" i="8"/>
  <c r="AB63" i="8" s="1"/>
  <c r="Z59" i="8"/>
  <c r="AD51" i="9"/>
  <c r="N23" i="6"/>
  <c r="N24" i="6" s="1"/>
  <c r="Y198" i="8"/>
  <c r="N146" i="2"/>
  <c r="N142" i="2"/>
  <c r="N149" i="2"/>
  <c r="AF131" i="2"/>
  <c r="Y89" i="2"/>
  <c r="AF29" i="2"/>
  <c r="AF30" i="2" s="1"/>
  <c r="AA37" i="8"/>
  <c r="AA60" i="8" s="1"/>
  <c r="AB35" i="8"/>
  <c r="AB37" i="8" s="1"/>
  <c r="AA177" i="8"/>
  <c r="AB48" i="9"/>
  <c r="AC50" i="9"/>
  <c r="Q151" i="8"/>
  <c r="AB82" i="8"/>
  <c r="AC174" i="8"/>
  <c r="AF172" i="8" s="1"/>
  <c r="AF174" i="8" s="1"/>
  <c r="N147" i="8"/>
  <c r="AB119" i="8"/>
  <c r="AB124" i="8" s="1"/>
  <c r="AB122" i="8"/>
  <c r="X24" i="6"/>
  <c r="AE50" i="9"/>
  <c r="Q32" i="5"/>
  <c r="Q33" i="5"/>
  <c r="Q31" i="5"/>
  <c r="AD68" i="2"/>
  <c r="AF68" i="2" s="1"/>
  <c r="AD71" i="2"/>
  <c r="AF147" i="2"/>
  <c r="AF140" i="2"/>
  <c r="AF139" i="2"/>
  <c r="AF148" i="2"/>
  <c r="AF141" i="2"/>
  <c r="Y128" i="2"/>
  <c r="Y133" i="2" s="1"/>
  <c r="Y147" i="2"/>
  <c r="AF128" i="2"/>
  <c r="AD65" i="2"/>
  <c r="AD62" i="2"/>
  <c r="AD167" i="2"/>
  <c r="AD18" i="2"/>
  <c r="Y49" i="9"/>
  <c r="S122" i="8"/>
  <c r="S147" i="8"/>
  <c r="S150" i="8"/>
  <c r="AA146" i="2"/>
  <c r="AA149" i="2"/>
  <c r="AA142" i="2"/>
  <c r="AB20" i="8"/>
  <c r="AB21" i="8" s="1"/>
  <c r="W150" i="8"/>
  <c r="AB146" i="2"/>
  <c r="AB149" i="2"/>
  <c r="AB142" i="2"/>
  <c r="P46" i="3"/>
  <c r="R147" i="2"/>
  <c r="R140" i="2"/>
  <c r="R139" i="2"/>
  <c r="W149" i="2"/>
  <c r="W146" i="2"/>
  <c r="W131" i="2"/>
  <c r="S29" i="6"/>
  <c r="S28" i="6"/>
  <c r="S24" i="6"/>
  <c r="AB148" i="8"/>
  <c r="AB141" i="8"/>
  <c r="AB140" i="8"/>
  <c r="X147" i="8"/>
  <c r="X150" i="8"/>
  <c r="X143" i="8"/>
  <c r="Z142" i="2"/>
  <c r="Z146" i="2"/>
  <c r="Z149" i="2"/>
  <c r="AB8" i="8"/>
  <c r="R147" i="8"/>
  <c r="R150" i="8"/>
  <c r="R151" i="8"/>
  <c r="R122" i="8"/>
  <c r="AB80" i="8"/>
  <c r="P20" i="4"/>
  <c r="AE164" i="2"/>
  <c r="AE46" i="2"/>
  <c r="AE72" i="2" s="1"/>
  <c r="AF44" i="2"/>
  <c r="AF46" i="2" s="1"/>
  <c r="Y87" i="2"/>
  <c r="M142" i="2"/>
  <c r="M149" i="2"/>
  <c r="M146" i="2"/>
  <c r="AF117" i="2" l="1"/>
  <c r="AF118" i="2" s="1"/>
  <c r="L54" i="3"/>
  <c r="X51" i="9"/>
  <c r="X52" i="9"/>
  <c r="V51" i="9"/>
  <c r="V52" i="9"/>
  <c r="V50" i="9"/>
  <c r="P22" i="4"/>
  <c r="E6" i="2"/>
  <c r="E10" i="2" s="1"/>
  <c r="R167" i="2"/>
  <c r="Z51" i="9"/>
  <c r="Z52" i="9"/>
  <c r="U52" i="9"/>
  <c r="AJ50" i="9"/>
  <c r="AJ51" i="9"/>
  <c r="AF133" i="2"/>
  <c r="R63" i="2"/>
  <c r="R64" i="2"/>
  <c r="R72" i="2"/>
  <c r="AF72" i="2"/>
  <c r="R18" i="2"/>
  <c r="AF65" i="2"/>
  <c r="AF62" i="2"/>
  <c r="AF71" i="2"/>
  <c r="AF18" i="2"/>
  <c r="AF184" i="2"/>
  <c r="AF64" i="2"/>
  <c r="R65" i="2"/>
  <c r="R62" i="2"/>
  <c r="R184" i="2"/>
  <c r="R71" i="2"/>
  <c r="U147" i="8"/>
  <c r="T51" i="9"/>
  <c r="T52" i="9"/>
  <c r="Y146" i="2"/>
  <c r="Y149" i="2"/>
  <c r="AE166" i="2"/>
  <c r="AE167" i="2" s="1"/>
  <c r="AF164" i="2"/>
  <c r="AF166" i="2" s="1"/>
  <c r="AF167" i="2" s="1"/>
  <c r="U150" i="8"/>
  <c r="Y51" i="9"/>
  <c r="Y52" i="9"/>
  <c r="AB54" i="8"/>
  <c r="AB196" i="8"/>
  <c r="AB56" i="8"/>
  <c r="AB147" i="8"/>
  <c r="AB150" i="8"/>
  <c r="AB143" i="8"/>
  <c r="Y50" i="9"/>
  <c r="AF149" i="2"/>
  <c r="AF142" i="2"/>
  <c r="AF146" i="2"/>
  <c r="R133" i="2"/>
  <c r="N28" i="6"/>
  <c r="N29" i="6"/>
  <c r="R146" i="2"/>
  <c r="R149" i="2"/>
  <c r="R142" i="2"/>
  <c r="AA179" i="8"/>
  <c r="AA180" i="8" s="1"/>
  <c r="AB177" i="8"/>
  <c r="AB179" i="8" s="1"/>
  <c r="AB180" i="8" s="1"/>
  <c r="M27" i="4"/>
  <c r="P26" i="4"/>
  <c r="P27" i="4" s="1"/>
  <c r="AB59" i="8"/>
  <c r="AB9" i="8"/>
  <c r="AB60" i="8"/>
  <c r="J44" i="6"/>
  <c r="N44" i="6" s="1"/>
  <c r="N40" i="6"/>
  <c r="AB49" i="9"/>
  <c r="AB51" i="9" s="1"/>
  <c r="U51" i="9"/>
  <c r="T20" i="9" l="1"/>
  <c r="AB52" i="9"/>
  <c r="AB50" i="9"/>
  <c r="P22" i="9" l="1"/>
  <c r="T22" i="9" s="1"/>
  <c r="T21" i="9"/>
  <c r="K159" i="2"/>
  <c r="K16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tc={C65983ED-A474-7146-913B-07D44DE6A986}</author>
    <author>tc={B462FFE1-EA9B-CE46-A1AB-E10CC531FF3D}</author>
    <author>tc={65EC4A03-5751-ED43-B601-1ACDDCFA2859}</author>
    <author>tc={DC301F4C-8D05-3949-9191-8F137B7277D2}</author>
    <author>tc={3333136F-F02D-F240-8AFA-085B62A8474F}</author>
    <author>tc={B713C132-1457-0F41-8A1E-52196D56BB8A}</author>
    <author>tc={75CBA0AF-2C86-CD4C-8CAE-1B4A1CE0213A}</author>
    <author>tc={D3039C9B-EDD6-2944-BA63-A7682B806BAB}</author>
    <author>tc={1DDD0FBF-F6C6-CD4E-A8FC-72590CFB2D01}</author>
    <author>tc={21489C8A-62B8-FF4A-A36D-DAC3DAB6B9DF}</author>
    <author>tc={8E9C35CD-D441-3245-AB91-32E360904751}</author>
    <author>tc={59DC56FA-8B36-1648-BA04-491F94FEA843}</author>
    <author>tc={8312FFE0-01A0-DD4A-8622-8408FE8B630C}</author>
    <author>tc={AAE955D2-AB80-3D4A-B8A1-ADB1B9D83DBA}</author>
    <author>tc={52A1092B-00F3-564D-87A6-CF48D2901C40}</author>
    <author>tc={B7783E58-EA6E-D842-B523-86BFEB8D41DD}</author>
    <author>tc={B3549138-F1C0-CC42-B8BE-ECF8AA3BC912}</author>
    <author>tc={45B3C508-EE4C-A545-A7D9-1E1B7AD53CB5}</author>
    <author>tc={8AFD3F05-5225-B044-9A34-0E57094D6A62}</author>
    <author>tc={99C877EA-5992-4B4D-AF9A-5D22454E528A}</author>
    <author>tc={2AC0284B-E004-C046-BAC2-7FBA98662542}</author>
    <author>tc={8B75F728-9F80-2E4E-942A-B47F0B9D7917}</author>
    <author>tc={9B70FC1D-CD5D-1142-941F-E96C63E835E6}</author>
    <author>tc={7A2625EC-3C1C-844C-9B5E-DDF9E62BDE4B}</author>
    <author>tc={40724BA9-9C43-D445-80F8-19ED497E208E}</author>
    <author>tc={26186BF4-F2E5-5E43-83F3-4F8AB38C2CF8}</author>
    <author>tc={5A498B64-5750-EA43-8171-E82B0374C291}</author>
    <author>tc={F7D1DFA9-04B4-EA46-BC39-E983046741FC}</author>
    <author>tc={444FB393-7E83-E94F-A1A2-578E47CC1627}</author>
    <author>tc={12861ED0-77FF-5045-804C-D1E0F54B43F9}</author>
    <author>tc={4EDDBCF0-5B2D-CE4C-8BEF-986E19DDE3DC}</author>
    <author>tc={BE18CC9F-6BDC-1742-9E18-48DD8478F67A}</author>
    <author>tc={814D88C8-B28A-8A48-A201-9C01848D4AB7}</author>
    <author>tc={1D95DE8A-E9C7-D94C-8C86-9248C955F5D6}</author>
    <author>tc={0EC65FEA-F3E1-3D43-BB1E-622EAA6744D5}</author>
    <author>tc={C470F44B-9ECD-8540-A1D2-320C9C6665A2}</author>
    <author>tc={53D8838F-12CA-1447-B486-8F4E1373B12D}</author>
    <author>tc={4DF8035F-2CE0-C542-A932-66634168DA7D}</author>
  </authors>
  <commentList>
    <comment ref="G87" authorId="0" shapeId="0" xr:uid="{C65983ED-A474-7146-913B-07D44DE6A986}">
      <text>
        <t>[Threaded comment]
Your version of Excel allows you to read this threaded comment; however, any edits to it will get removed if the file is opened in a newer version of Excel. Learn more: https://go.microsoft.com/fwlink/?linkid=870924
Comment:
    ======
ID#AAABlEVvlEw
Aldahir Alvarado    (2025-06-02 03:37:44)
65 hombres</t>
      </text>
    </comment>
    <comment ref="H87" authorId="1" shapeId="0" xr:uid="{B462FFE1-EA9B-CE46-A1AB-E10CC531FF3D}">
      <text>
        <t>[Threaded comment]
Your version of Excel allows you to read this threaded comment; however, any edits to it will get removed if the file is opened in a newer version of Excel. Learn more: https://go.microsoft.com/fwlink/?linkid=870924
Comment:
    ======
ID#AAABlESAqr8
Aldahir Alvarado    (2025-06-02 03:37:43)
49 hombres</t>
      </text>
    </comment>
    <comment ref="I87" authorId="2" shapeId="0" xr:uid="{65EC4A03-5751-ED43-B601-1ACDDCFA2859}">
      <text>
        <t>[Threaded comment]
Your version of Excel allows you to read this threaded comment; however, any edits to it will get removed if the file is opened in a newer version of Excel. Learn more: https://go.microsoft.com/fwlink/?linkid=870924
Comment:
    ======
ID#AAABlESBESw
Aldahir Alvarado    (2025-06-02 03:37:43)
191 hombres</t>
      </text>
    </comment>
    <comment ref="J87" authorId="3" shapeId="0" xr:uid="{DC301F4C-8D05-3949-9191-8F137B7277D2}">
      <text>
        <t>[Threaded comment]
Your version of Excel allows you to read this threaded comment; however, any edits to it will get removed if the file is opened in a newer version of Excel. Learn more: https://go.microsoft.com/fwlink/?linkid=870924
Comment:
    ======
ID#AAABlESBESo
Aldahir Alvarado    (2025-06-02 03:37:43)
24 hombres</t>
      </text>
    </comment>
    <comment ref="K87" authorId="4" shapeId="0" xr:uid="{3333136F-F02D-F240-8AFA-085B62A8474F}">
      <text>
        <t>[Threaded comment]
Your version of Excel allows you to read this threaded comment; however, any edits to it will get removed if the file is opened in a newer version of Excel. Learn more: https://go.microsoft.com/fwlink/?linkid=870924
Comment:
    ======
ID#AAABlESAqss
Aldahir Alvarado    (2025-06-02 03:37:43)
6 hombres</t>
      </text>
    </comment>
    <comment ref="G88" authorId="5" shapeId="0" xr:uid="{B713C132-1457-0F41-8A1E-52196D56BB8A}">
      <text>
        <t>[Threaded comment]
Your version of Excel allows you to read this threaded comment; however, any edits to it will get removed if the file is opened in a newer version of Excel. Learn more: https://go.microsoft.com/fwlink/?linkid=870924
Comment:
    ======
ID#AAABlESBETA
Aldahir Alvarado    (2025-06-02 03:37:43)
16 mujeres</t>
      </text>
    </comment>
    <comment ref="H88" authorId="6" shapeId="0" xr:uid="{75CBA0AF-2C86-CD4C-8CAE-1B4A1CE0213A}">
      <text>
        <t>[Threaded comment]
Your version of Excel allows you to read this threaded comment; however, any edits to it will get removed if the file is opened in a newer version of Excel. Learn more: https://go.microsoft.com/fwlink/?linkid=870924
Comment:
    ======
ID#AAABlESAqsg
Aldahir Alvarado    (2025-06-02 03:37:43)
6 mujeres</t>
      </text>
    </comment>
    <comment ref="I88" authorId="7" shapeId="0" xr:uid="{D3039C9B-EDD6-2944-BA63-A7682B806BAB}">
      <text>
        <t>[Threaded comment]
Your version of Excel allows you to read this threaded comment; however, any edits to it will get removed if the file is opened in a newer version of Excel. Learn more: https://go.microsoft.com/fwlink/?linkid=870924
Comment:
    ======
ID#AAABlESAqsY
Aldahir Alvarado    (2025-06-02 03:37:43)
39 mujeres</t>
      </text>
    </comment>
    <comment ref="J88" authorId="8" shapeId="0" xr:uid="{1DDD0FBF-F6C6-CD4E-A8FC-72590CFB2D01}">
      <text>
        <t>[Threaded comment]
Your version of Excel allows you to read this threaded comment; however, any edits to it will get removed if the file is opened in a newer version of Excel. Learn more: https://go.microsoft.com/fwlink/?linkid=870924
Comment:
    ======
ID#AAABlESBESs
Aldahir Alvarado    (2025-06-02 03:37:43)
4</t>
      </text>
    </comment>
    <comment ref="G99" authorId="9" shapeId="0" xr:uid="{21489C8A-62B8-FF4A-A36D-DAC3DAB6B9DF}">
      <text>
        <t>[Threaded comment]
Your version of Excel allows you to read this threaded comment; however, any edits to it will get removed if the file is opened in a newer version of Excel. Learn more: https://go.microsoft.com/fwlink/?linkid=870924
Comment:
    ======
ID#AAABlESBESU
Aldahir Alvarado    (2025-06-02 03:37:43)
52 hombres</t>
      </text>
    </comment>
    <comment ref="H99" authorId="10" shapeId="0" xr:uid="{8E9C35CD-D441-3245-AB91-32E360904751}">
      <text>
        <t>[Threaded comment]
Your version of Excel allows you to read this threaded comment; however, any edits to it will get removed if the file is opened in a newer version of Excel. Learn more: https://go.microsoft.com/fwlink/?linkid=870924
Comment:
    ======
ID#AAABlESAqsI
Aldahir Alvarado    (2025-06-02 03:37:43)
47 hombres</t>
      </text>
    </comment>
    <comment ref="I99" authorId="11" shapeId="0" xr:uid="{59DC56FA-8B36-1648-BA04-491F94FEA843}">
      <text>
        <t>[Threaded comment]
Your version of Excel allows you to read this threaded comment; however, any edits to it will get removed if the file is opened in a newer version of Excel. Learn more: https://go.microsoft.com/fwlink/?linkid=870924
Comment:
    ======
ID#AAABlEVvlEY
Aldahir Alvarado    (2025-06-02 03:37:44)
42 hombres</t>
      </text>
    </comment>
    <comment ref="J99" authorId="12" shapeId="0" xr:uid="{8312FFE0-01A0-DD4A-8622-8408FE8B630C}">
      <text>
        <t>[Threaded comment]
Your version of Excel allows you to read this threaded comment; however, any edits to it will get removed if the file is opened in a newer version of Excel. Learn more: https://go.microsoft.com/fwlink/?linkid=870924
Comment:
    ======
ID#AAABlESAqsM
Aldahir Alvarado    (2025-06-02 03:37:43)
22 hombres</t>
      </text>
    </comment>
    <comment ref="N101" authorId="13" shapeId="0" xr:uid="{AAE955D2-AB80-3D4A-B8A1-ADB1B9D83DBA}">
      <text>
        <t>[Threaded comment]
Your version of Excel allows you to read this threaded comment; however, any edits to it will get removed if the file is opened in a newer version of Excel. Learn more: https://go.microsoft.com/fwlink/?linkid=870924
Comment:
    ======
ID#AAABlESAqsQ
Aldahir Alvarado    (2025-06-02 03:37:43)
209 totales</t>
      </text>
    </comment>
    <comment ref="F117" authorId="14" shapeId="0" xr:uid="{52A1092B-00F3-564D-87A6-CF48D2901C40}">
      <text>
        <t>[Threaded comment]
Your version of Excel allows you to read this threaded comment; however, any edits to it will get removed if the file is opened in a newer version of Excel. Learn more: https://go.microsoft.com/fwlink/?linkid=870924
Comment:
    ======
ID#AAABlEVvlE4
tc={93CBF504-F8F7-4DAA-99FC-08B6410920B8}    (2025-06-02 03:37:44)
[Threaded comment]
Your version of Excel allows you to read this threaded comment; however, any edits to it will get removed if the file is opened in a newer version of Excel. Learn more: https://go.microsoft.com/fwlink/?linkid=870924
Comment:
    Falta desglose por género</t>
      </text>
    </comment>
    <comment ref="G119" authorId="15" shapeId="0" xr:uid="{B7783E58-EA6E-D842-B523-86BFEB8D41DD}">
      <text>
        <t>[Threaded comment]
Your version of Excel allows you to read this threaded comment; however, any edits to it will get removed if the file is opened in a newer version of Excel. Learn more: https://go.microsoft.com/fwlink/?linkid=870924
Comment:
    ======
ID#AAABlESBESg
Aldahir Alvarado    (2025-06-02 03:37:43)
16,617 totales</t>
      </text>
    </comment>
    <comment ref="H119" authorId="16" shapeId="0" xr:uid="{B3549138-F1C0-CC42-B8BE-ECF8AA3BC912}">
      <text>
        <t>[Threaded comment]
Your version of Excel allows you to read this threaded comment; however, any edits to it will get removed if the file is opened in a newer version of Excel. Learn more: https://go.microsoft.com/fwlink/?linkid=870924
Comment:
    ======
ID#AAABlESBETE
Aldahir Alvarado    (2025-06-02 03:37:43)
4,166 totales</t>
      </text>
    </comment>
    <comment ref="I119" authorId="17" shapeId="0" xr:uid="{45B3C508-EE4C-A545-A7D9-1E1B7AD53CB5}">
      <text>
        <t>[Threaded comment]
Your version of Excel allows you to read this threaded comment; however, any edits to it will get removed if the file is opened in a newer version of Excel. Learn more: https://go.microsoft.com/fwlink/?linkid=870924
Comment:
    ======
ID#AAABlESBESQ
Aldahir Alvarado    (2025-06-02 03:37:43)
43,895</t>
      </text>
    </comment>
    <comment ref="O122" authorId="18" shapeId="0" xr:uid="{8AFD3F05-5225-B044-9A34-0E57094D6A62}">
      <text>
        <t>[Threaded comment]
Your version of Excel allows you to read this threaded comment; however, any edits to it will get removed if the file is opened in a newer version of Excel. Learn more: https://go.microsoft.com/fwlink/?linkid=870924
Comment:
    ======
ID#AAABlESBETI
Julio Leal    (2025-06-02 03:37:43)
Resultado anterior 48,
formula utilizada=O117/O25</t>
      </text>
    </comment>
    <comment ref="P122" authorId="19" shapeId="0" xr:uid="{99C877EA-5992-4B4D-AF9A-5D22454E528A}">
      <text>
        <t>[Threaded comment]
Your version of Excel allows you to read this threaded comment; however, any edits to it will get removed if the file is opened in a newer version of Excel. Learn more: https://go.microsoft.com/fwlink/?linkid=870924
Comment:
    ======
ID#AAABlESBESk
Julio Leal    (2025-06-02 03:37:43)
Dato anterior antes de la correción: 48</t>
      </text>
    </comment>
    <comment ref="Q122" authorId="20" shapeId="0" xr:uid="{2AC0284B-E004-C046-BAC2-7FBA98662542}">
      <text>
        <t>[Threaded comment]
Your version of Excel allows you to read this threaded comment; however, any edits to it will get removed if the file is opened in a newer version of Excel. Learn more: https://go.microsoft.com/fwlink/?linkid=870924
Comment:
    ======
ID#AAABlESAqsw
Julio Leal    (2025-06-02 03:37:43)
Dato anterior antes de la correción: 79</t>
      </text>
    </comment>
    <comment ref="R122" authorId="21" shapeId="0" xr:uid="{8B75F728-9F80-2E4E-942A-B47F0B9D7917}">
      <text>
        <t>[Threaded comment]
Your version of Excel allows you to read this threaded comment; however, any edits to it will get removed if the file is opened in a newer version of Excel. Learn more: https://go.microsoft.com/fwlink/?linkid=870924
Comment:
    ======
ID#AAABlEVvlEg
Julio Leal    (2025-06-02 03:37:44)
Dato anterior antes de la correción: 28</t>
      </text>
    </comment>
    <comment ref="S122" authorId="22" shapeId="0" xr:uid="{9B70FC1D-CD5D-1142-941F-E96C63E835E6}">
      <text>
        <t>[Threaded comment]
Your version of Excel allows you to read this threaded comment; however, any edits to it will get removed if the file is opened in a newer version of Excel. Learn more: https://go.microsoft.com/fwlink/?linkid=870924
Comment:
    ======
ID#AAABlESAqsU
Julio Leal    (2025-06-02 03:37:43)
Dato anterior antes de la correción: NA</t>
      </text>
    </comment>
    <comment ref="U122" authorId="23" shapeId="0" xr:uid="{7A2625EC-3C1C-844C-9B5E-DDF9E62BDE4B}">
      <text>
        <t>[Threaded comment]
Your version of Excel allows you to read this threaded comment; however, any edits to it will get removed if the file is opened in a newer version of Excel. Learn more: https://go.microsoft.com/fwlink/?linkid=870924
Comment:
    ======
ID#AAABlESAqso
Julio Leal    (2025-06-02 03:37:43)
Dato anterior antes de la correción: 47</t>
      </text>
    </comment>
    <comment ref="O123" authorId="24" shapeId="0" xr:uid="{40724BA9-9C43-D445-80F8-19ED497E208E}">
      <text>
        <t>[Threaded comment]
Your version of Excel allows you to read this threaded comment; however, any edits to it will get removed if the file is opened in a newer version of Excel. Learn more: https://go.microsoft.com/fwlink/?linkid=870924
Comment:
    ======
ID#AAABlEVvlEc
Julio Leal    (2025-06-02 03:37:44)
Dato anterior antes de la correción: 28</t>
      </text>
    </comment>
    <comment ref="P123" authorId="25" shapeId="0" xr:uid="{26186BF4-F2E5-5E43-83F3-4F8AB38C2CF8}">
      <text>
        <t>[Threaded comment]
Your version of Excel allows you to read this threaded comment; however, any edits to it will get removed if the file is opened in a newer version of Excel. Learn more: https://go.microsoft.com/fwlink/?linkid=870924
Comment:
    ======
ID#AAABlEVvlEk
Julio Leal    (2025-06-02 03:37:44)
Dato anterior antes de la correción: 67</t>
      </text>
    </comment>
    <comment ref="Q123" authorId="26" shapeId="0" xr:uid="{5A498B64-5750-EA43-8171-E82B0374C291}">
      <text>
        <t>[Threaded comment]
Your version of Excel allows you to read this threaded comment; however, any edits to it will get removed if the file is opened in a newer version of Excel. Learn more: https://go.microsoft.com/fwlink/?linkid=870924
Comment:
    ======
ID#AAABlEVvlE0
Julio Leal    (2025-06-02 03:37:44)
Dato anterior antes de la correción: 59</t>
      </text>
    </comment>
    <comment ref="R123" authorId="27" shapeId="0" xr:uid="{F7D1DFA9-04B4-EA46-BC39-E983046741FC}">
      <text>
        <t>[Threaded comment]
Your version of Excel allows you to read this threaded comment; however, any edits to it will get removed if the file is opened in a newer version of Excel. Learn more: https://go.microsoft.com/fwlink/?linkid=870924
Comment:
    ======
ID#AAABlESBETM
Julio Leal    (2025-06-02 03:37:43)
Dato anterior antes de la correción: 36</t>
      </text>
    </comment>
    <comment ref="S123" authorId="28" shapeId="0" xr:uid="{444FB393-7E83-E94F-A1A2-578E47CC1627}">
      <text>
        <t>[Threaded comment]
Your version of Excel allows you to read this threaded comment; however, any edits to it will get removed if the file is opened in a newer version of Excel. Learn more: https://go.microsoft.com/fwlink/?linkid=870924
Comment:
    ======
ID#AAABlESAqsk
Julio Leal    (2025-06-02 03:37:43)
Dato anterior antes de la correción: NA</t>
      </text>
    </comment>
    <comment ref="U123" authorId="29" shapeId="0" xr:uid="{12861ED0-77FF-5045-804C-D1E0F54B43F9}">
      <text>
        <t>[Threaded comment]
Your version of Excel allows you to read this threaded comment; however, any edits to it will get removed if the file is opened in a newer version of Excel. Learn more: https://go.microsoft.com/fwlink/?linkid=870924
Comment:
    ======
ID#AAABlESBES4
Julio Leal    (2025-06-02 03:37:43)
Dato anterior antes de la correción: 36</t>
      </text>
    </comment>
    <comment ref="O124" authorId="30" shapeId="0" xr:uid="{4EDDBCF0-5B2D-CE4C-8BEF-986E19DDE3DC}">
      <text>
        <t>[Threaded comment]
Your version of Excel allows you to read this threaded comment; however, any edits to it will get removed if the file is opened in a newer version of Excel. Learn more: https://go.microsoft.com/fwlink/?linkid=870924
Comment:
    ======
ID#AAABlESBES0
Julio Leal    (2025-06-02 03:37:43)
Dato anterior antes de la correción: 45</t>
      </text>
    </comment>
    <comment ref="P124" authorId="31" shapeId="0" xr:uid="{BE18CC9F-6BDC-1742-9E18-48DD8478F67A}">
      <text>
        <t>[Threaded comment]
Your version of Excel allows you to read this threaded comment; however, any edits to it will get removed if the file is opened in a newer version of Excel. Learn more: https://go.microsoft.com/fwlink/?linkid=870924
Comment:
    ======
ID#AAABlESAqsE
Julio Leal    (2025-06-02 03:37:43)
Dato anterior antes de la correción: 50</t>
      </text>
    </comment>
    <comment ref="Q124" authorId="32" shapeId="0" xr:uid="{814D88C8-B28A-8A48-A201-9C01848D4AB7}">
      <text>
        <t>[Threaded comment]
Your version of Excel allows you to read this threaded comment; however, any edits to it will get removed if the file is opened in a newer version of Excel. Learn more: https://go.microsoft.com/fwlink/?linkid=870924
Comment:
    ======
ID#AAABlESAqsA
Julio Leal    (2025-06-02 03:37:43)
Dato anterior antes de la correción: 75</t>
      </text>
    </comment>
    <comment ref="R124" authorId="33" shapeId="0" xr:uid="{1D95DE8A-E9C7-D94C-8C86-9248C955F5D6}">
      <text>
        <t>[Threaded comment]
Your version of Excel allows you to read this threaded comment; however, any edits to it will get removed if the file is opened in a newer version of Excel. Learn more: https://go.microsoft.com/fwlink/?linkid=870924
Comment:
    ======
ID#AAABlESBESY
Julio Leal    (2025-06-02 03:37:43)
Dato anterior antes de la correción: 31</t>
      </text>
    </comment>
    <comment ref="S124" authorId="34" shapeId="0" xr:uid="{0EC65FEA-F3E1-3D43-BB1E-622EAA6744D5}">
      <text>
        <t>[Threaded comment]
Your version of Excel allows you to read this threaded comment; however, any edits to it will get removed if the file is opened in a newer version of Excel. Learn more: https://go.microsoft.com/fwlink/?linkid=870924
Comment:
    ======
ID#AAABlESAqsc
Julio Leal    (2025-06-02 03:37:43)
Dato anterior antes de la correción: 13</t>
      </text>
    </comment>
    <comment ref="U124" authorId="35" shapeId="0" xr:uid="{C470F44B-9ECD-8540-A1D2-320C9C6665A2}">
      <text>
        <t>[Threaded comment]
Your version of Excel allows you to read this threaded comment; however, any edits to it will get removed if the file is opened in a newer version of Excel. Learn more: https://go.microsoft.com/fwlink/?linkid=870924
Comment:
    ======
ID#AAABlESBESc
Julio Leal    (2025-06-02 03:37:43)
Dato anterior antes de la correción: 45</t>
      </text>
    </comment>
    <comment ref="G153" authorId="36" shapeId="0" xr:uid="{53D8838F-12CA-1447-B486-8F4E1373B12D}">
      <text>
        <t>[Threaded comment]
Your version of Excel allows you to read this threaded comment; however, any edits to it will get removed if the file is opened in a newer version of Excel. Learn more: https://go.microsoft.com/fwlink/?linkid=870924
Comment:
    ======
ID#AAABlESBES8
Aldahir Alvarado    (2025-06-02 03:37:43)
JP</t>
      </text>
    </comment>
    <comment ref="G172" authorId="37" shapeId="0" xr:uid="{4DF8035F-2CE0-C542-A932-66634168DA7D}">
      <text>
        <t>[Threaded comment]
Your version of Excel allows you to read this threaded comment; however, any edits to it will get removed if the file is opened in a newer version of Excel. Learn more: https://go.microsoft.com/fwlink/?linkid=870924
Comment:
    ======
ID#AAABlEVvlEs
tc={888E7C89-0CCE-4CE4-BB75-A55C4DE52C65}    (2025-06-02 03:37:44)
[Threaded comment]
Your version of Excel allows you to read this threaded comment; however, any edits to it will get removed if the file is opened in a newer version of Excel. Learn more: https://go.microsoft.com/fwlink/?linkid=870924
Comment:
    Estos datos estan mal, es parte de lo que tienen que revisar con Misael</t>
      </text>
    </comment>
  </commentList>
</comments>
</file>

<file path=xl/sharedStrings.xml><?xml version="1.0" encoding="utf-8"?>
<sst xmlns="http://schemas.openxmlformats.org/spreadsheetml/2006/main" count="1863" uniqueCount="638">
  <si>
    <t xml:space="preserve">2025 ESG Performance Data Tables	</t>
  </si>
  <si>
    <t>Introduction</t>
  </si>
  <si>
    <r>
      <t xml:space="preserve">This document presents data tables that summarize Endeavour Silver's </t>
    </r>
    <r>
      <rPr>
        <b/>
        <sz val="10"/>
        <color theme="1"/>
        <rFont val="Helvetica"/>
        <family val="2"/>
      </rPr>
      <t>quantitative and qualitative</t>
    </r>
    <r>
      <rPr>
        <sz val="10"/>
        <color theme="1"/>
        <rFont val="Helvetica"/>
        <family val="2"/>
      </rPr>
      <t xml:space="preserve"> sustainability performance in three pillars: </t>
    </r>
    <r>
      <rPr>
        <b/>
        <sz val="10"/>
        <color theme="1"/>
        <rFont val="Helvetica"/>
        <family val="2"/>
      </rPr>
      <t>Planet, People and Bussiness</t>
    </r>
    <r>
      <rPr>
        <sz val="10"/>
        <color theme="1"/>
        <rFont val="Helvetica"/>
        <family val="2"/>
      </rPr>
      <t>. For contextual information, these tables should be read in conjunction with our 2025 Sustainability Report and other sustainability disclosures available in our online Sustainability Reporting Hub.</t>
    </r>
  </si>
  <si>
    <t xml:space="preserve">Visit our Sustainability Reporting Hub for further information. </t>
  </si>
  <si>
    <t>2025 ESG Performance Data Tables</t>
  </si>
  <si>
    <t>Indicator/disclosure</t>
  </si>
  <si>
    <t>YE 2025</t>
  </si>
  <si>
    <t>YE 2024</t>
  </si>
  <si>
    <t>YE 2023</t>
  </si>
  <si>
    <t>Board Members</t>
  </si>
  <si>
    <t>Number of members</t>
  </si>
  <si>
    <t>Number of independent directors</t>
  </si>
  <si>
    <t>Number of female* directors</t>
  </si>
  <si>
    <t>Percentage of female directors</t>
  </si>
  <si>
    <t>Code of Business Conduct &amp; Ethics for directors</t>
  </si>
  <si>
    <t>Yes</t>
  </si>
  <si>
    <t>Sustainability monitoring by the Board</t>
  </si>
  <si>
    <t>*Our target is to maintain a 30% of women in the Board</t>
  </si>
  <si>
    <t>Trust line reports</t>
  </si>
  <si>
    <t>Guanacevi</t>
  </si>
  <si>
    <t>Bolañitos</t>
  </si>
  <si>
    <t>Terronera</t>
  </si>
  <si>
    <t>León</t>
  </si>
  <si>
    <t>Exploration</t>
  </si>
  <si>
    <t>Exploración</t>
  </si>
  <si>
    <t>Kolpa*</t>
  </si>
  <si>
    <t>N/A</t>
  </si>
  <si>
    <t>Corporate Office in Canada</t>
  </si>
  <si>
    <t>TOTAL</t>
  </si>
  <si>
    <t>*Kolpa was acquired in May 2025, thus there are no indicators from previous years to 2025</t>
  </si>
  <si>
    <t>Trust line reports - Cases by categories</t>
  </si>
  <si>
    <t>Non-Compliance with Rules and Regulations</t>
  </si>
  <si>
    <t>Non-Compliance with Labour Rules and Regulations</t>
  </si>
  <si>
    <t>Mistreatment and/or Harrassment
within the Workplace</t>
  </si>
  <si>
    <t>Sexual Harrassment</t>
  </si>
  <si>
    <t>Failure in Contractor's Performance</t>
  </si>
  <si>
    <t>Conflict of interest</t>
  </si>
  <si>
    <t>Occupational Health &amp; Safety</t>
  </si>
  <si>
    <t>Threats against physical integrity</t>
  </si>
  <si>
    <t>Discrimination</t>
  </si>
  <si>
    <t>Vision &amp; Values</t>
  </si>
  <si>
    <t>Bribes or Improper Payments</t>
  </si>
  <si>
    <t>Other</t>
  </si>
  <si>
    <t>Anticorruption - Risk assessment</t>
  </si>
  <si>
    <t>Percentage of operations assessed for risks related to corruption.*</t>
  </si>
  <si>
    <t>Number of confirmed incidents of corruption.</t>
  </si>
  <si>
    <t>Number of confirmed incidents in which employees were dismissed or disciplined for corruption.</t>
  </si>
  <si>
    <t>Number of confirmed incidents when contracts with business partners were terminated or not renewed due to violations related to corruption.</t>
  </si>
  <si>
    <t>Anticorruption - Communication and training</t>
  </si>
  <si>
    <t>Percentage of governance body members* that the organization’s anti- corruption policies and procedures have been communicated</t>
  </si>
  <si>
    <t>Percentage of employees** that have received training on anti- corruption</t>
  </si>
  <si>
    <t>Percentage of business partners*** that the organization’s anti- corruption policies and procedures have been communicated</t>
  </si>
  <si>
    <t>*Governance body members (Board of Directors and Management Team) sign the Code of Conduct every year</t>
  </si>
  <si>
    <t>**Employees go through a refresh training every year on main policies.</t>
  </si>
  <si>
    <t>***All contracts include our policies and procedures, including the Anti/corruption and Anti-bribery policy</t>
  </si>
  <si>
    <t xml:space="preserve">Total employees by country </t>
  </si>
  <si>
    <t>Mexico</t>
  </si>
  <si>
    <t>Peru</t>
  </si>
  <si>
    <t>Chile</t>
  </si>
  <si>
    <t>Canada</t>
  </si>
  <si>
    <t>Total number of employees as of Dec 31*</t>
  </si>
  <si>
    <t>Kolpa</t>
  </si>
  <si>
    <t>Exploration (including Pitarrilla)</t>
  </si>
  <si>
    <t>Regional Office in Leon</t>
  </si>
  <si>
    <t>Corporate Office in Vancouver</t>
  </si>
  <si>
    <t>Oficina Regional León</t>
  </si>
  <si>
    <t>Oficina Corporativa Vancouver</t>
  </si>
  <si>
    <t>Leon</t>
  </si>
  <si>
    <t>YE 2022</t>
  </si>
  <si>
    <t>GCV 2021</t>
  </si>
  <si>
    <t>BOL 2021</t>
  </si>
  <si>
    <t>TPM 2021</t>
  </si>
  <si>
    <t>MOS 2021</t>
  </si>
  <si>
    <t>Leon 2021</t>
  </si>
  <si>
    <t>EXP 2021</t>
  </si>
  <si>
    <t>YVR 2021</t>
  </si>
  <si>
    <t>YE 2021</t>
  </si>
  <si>
    <t xml:space="preserve">Total employees by gender </t>
  </si>
  <si>
    <t>Total number of MALE employees as of Dec 31</t>
  </si>
  <si>
    <t>Total number of FEMALE employees as of Dec 31</t>
  </si>
  <si>
    <t>Female % for employees</t>
  </si>
  <si>
    <t xml:space="preserve">*All employees are permanent; there are no temporary employees. </t>
  </si>
  <si>
    <t xml:space="preserve">Total contractors by gender </t>
  </si>
  <si>
    <t xml:space="preserve">Total number of MALE contractors </t>
  </si>
  <si>
    <t xml:space="preserve">Total number of FEMALE contractors </t>
  </si>
  <si>
    <t xml:space="preserve">Total number of contractors </t>
  </si>
  <si>
    <t>Female % for contractors</t>
  </si>
  <si>
    <t>Total workforce (including employees and contractors)</t>
  </si>
  <si>
    <t xml:space="preserve">Total number of MALE employees and contractors </t>
  </si>
  <si>
    <t xml:space="preserve">Total number of FEMALE employees and contractors </t>
  </si>
  <si>
    <t>Total number of  employees and contractors</t>
  </si>
  <si>
    <t>Average employees</t>
  </si>
  <si>
    <t>Average number of MALE employees in the year</t>
  </si>
  <si>
    <t>NA</t>
  </si>
  <si>
    <t>Average number of FEMALE employees in the year</t>
  </si>
  <si>
    <t>Average number of employees in the year</t>
  </si>
  <si>
    <t>Average contractors</t>
  </si>
  <si>
    <t>Average number of MALE contractors in the year</t>
  </si>
  <si>
    <t>Average number of FEMALE contractors in the year</t>
  </si>
  <si>
    <t>Average number of contractors in the year</t>
  </si>
  <si>
    <t>Total non-union employees by gender and origin</t>
  </si>
  <si>
    <t>Total MALE non-union employees</t>
  </si>
  <si>
    <t>Total FEMALE non-union employees</t>
  </si>
  <si>
    <t>Total non-union employees</t>
  </si>
  <si>
    <t xml:space="preserve">Local Hires (municipality) </t>
  </si>
  <si>
    <t xml:space="preserve">Local Hires (state) </t>
  </si>
  <si>
    <t xml:space="preserve">Regional Hires (within the country) </t>
  </si>
  <si>
    <t>International hires</t>
  </si>
  <si>
    <t>Total union employees by gender and origin</t>
  </si>
  <si>
    <t>Total MALE union employees</t>
  </si>
  <si>
    <t>Total FEMALE union employees</t>
  </si>
  <si>
    <t>Total union employees</t>
  </si>
  <si>
    <t>Local hiring of employees (union &amp; non union)</t>
  </si>
  <si>
    <t xml:space="preserve">% of Local Hires (municipality) </t>
  </si>
  <si>
    <t xml:space="preserve">% of Local Hires (state) </t>
  </si>
  <si>
    <t xml:space="preserve">% of Regional Hires (within the country) </t>
  </si>
  <si>
    <t>% of International hires</t>
  </si>
  <si>
    <t>Total employees with bargaining agreements</t>
  </si>
  <si>
    <t>Number of employees covered by collective bargaining agreements</t>
  </si>
  <si>
    <t>Union employees representation</t>
  </si>
  <si>
    <t>Percentage of Union Employees</t>
  </si>
  <si>
    <t>Percentage of Non-Union Employees</t>
  </si>
  <si>
    <t>Total employees by age group</t>
  </si>
  <si>
    <t>Under 30 years old</t>
  </si>
  <si>
    <t>30-50 years old</t>
  </si>
  <si>
    <t>Over 50 years old</t>
  </si>
  <si>
    <t>Senior* management by gender and origin</t>
  </si>
  <si>
    <t>Total MALE managers</t>
  </si>
  <si>
    <t>Total FEMALE managers</t>
  </si>
  <si>
    <t>Total Managers</t>
  </si>
  <si>
    <t>% of local managers hired (in the state where they work)</t>
  </si>
  <si>
    <t>% of local managers hired (in country)</t>
  </si>
  <si>
    <t>% of managers hired internationally</t>
  </si>
  <si>
    <t>% of female in senior management</t>
  </si>
  <si>
    <t xml:space="preserve">% of Indigenous Hires </t>
  </si>
  <si>
    <t>New hires by gender, age and origin</t>
  </si>
  <si>
    <t xml:space="preserve">Total number of new MALE hires </t>
  </si>
  <si>
    <t xml:space="preserve">Total number of new FEMALE hires </t>
  </si>
  <si>
    <t xml:space="preserve">Total number of new hires </t>
  </si>
  <si>
    <t>Total new hires under 30 years old</t>
  </si>
  <si>
    <t>Total new hires between 30 and 50 years old</t>
  </si>
  <si>
    <t>Total new hires older than 50 years old</t>
  </si>
  <si>
    <t>Total new hires in the Municipality of the mine</t>
  </si>
  <si>
    <t>Total new hires in the State of the mine</t>
  </si>
  <si>
    <t>Total new hires in the rest of the country</t>
  </si>
  <si>
    <t>Total new hires internationally</t>
  </si>
  <si>
    <t>Turnover rate by gender, age and origin</t>
  </si>
  <si>
    <t xml:space="preserve">Total number of MALE employees leaving or dismissed </t>
  </si>
  <si>
    <t>NA (closure)</t>
  </si>
  <si>
    <t xml:space="preserve">Total number of FEMALE employees leaving or dismissed </t>
  </si>
  <si>
    <t xml:space="preserve">Total number of employees leaving or dismissed </t>
  </si>
  <si>
    <t>Total employees leaving or dismissed under 30 years old</t>
  </si>
  <si>
    <t>Total employees leaving or dismissed between 30 and 50 years old</t>
  </si>
  <si>
    <t>Total employees leaving or dismissed older than 50 years old</t>
  </si>
  <si>
    <t>Total employees leaving or dismissed from the Municipality of the mine</t>
  </si>
  <si>
    <t>Total employees leaving or dismissed from the State of the mine</t>
  </si>
  <si>
    <t>Total employees leaving or dismissed from the rest of the country</t>
  </si>
  <si>
    <t>Total employees leaving or dismissed from abroad</t>
  </si>
  <si>
    <t>Turnover rate for all employees - Accumulated</t>
  </si>
  <si>
    <t>Turnover rate for all employees - Monthly average</t>
  </si>
  <si>
    <t>Absenteeism rate</t>
  </si>
  <si>
    <t>Number of absent days</t>
  </si>
  <si>
    <t>Absentee rate - Acumulated</t>
  </si>
  <si>
    <t>Absentee rate - Monthly average</t>
  </si>
  <si>
    <t>Training and Education for employees</t>
  </si>
  <si>
    <t>Hours of training for MALE employees</t>
  </si>
  <si>
    <t>Hours of training for FEMALE employees</t>
  </si>
  <si>
    <t>Hours of training for employees</t>
  </si>
  <si>
    <t>Hours of training for union employees</t>
  </si>
  <si>
    <t>Hours of training for non-union employees</t>
  </si>
  <si>
    <t>Average hours per employee</t>
  </si>
  <si>
    <t>Average hours per MALE employee</t>
  </si>
  <si>
    <t>Average hours per FEMALE employee</t>
  </si>
  <si>
    <t>*Training for exploration staff is captured in the site where they work</t>
  </si>
  <si>
    <t>Training and Education for contractors</t>
  </si>
  <si>
    <t>Hours of training for MALE contractors</t>
  </si>
  <si>
    <t>Hours of training for FEMALE contractors</t>
  </si>
  <si>
    <t>Hours of training for contractors</t>
  </si>
  <si>
    <t>Average hours per MALE contractor</t>
  </si>
  <si>
    <t>Average hours per FEMALE contractor</t>
  </si>
  <si>
    <t>Average hours per contractor</t>
  </si>
  <si>
    <t>*Leon has no contractors; training for Exploration staff is captured in the site data</t>
  </si>
  <si>
    <t>Training and Education for employees and contractors</t>
  </si>
  <si>
    <t>Total hours for employee and contractor</t>
  </si>
  <si>
    <t>Average hours for MALE employee and contractor</t>
  </si>
  <si>
    <t>Average hours for FEMALE employee and contractor</t>
  </si>
  <si>
    <t>Average hours for employee and contractor</t>
  </si>
  <si>
    <t>Topic training for employees and contractors</t>
  </si>
  <si>
    <t>Hours of training for Safety</t>
  </si>
  <si>
    <t>Hours of training for Technical skills</t>
  </si>
  <si>
    <t>Hours of training for Soft skills</t>
  </si>
  <si>
    <t>-</t>
  </si>
  <si>
    <t>Total hours by topic for employee and contractors</t>
  </si>
  <si>
    <t>Onboarding for employees and contractors</t>
  </si>
  <si>
    <t>Onboarding hours for contractors</t>
  </si>
  <si>
    <t>Onboarding hours for employees</t>
  </si>
  <si>
    <t>Total onboarding hours</t>
  </si>
  <si>
    <t>Number of MALE employees that receive performance evaluations</t>
  </si>
  <si>
    <t>Number of FEMALE employees that receive performance evaluations</t>
  </si>
  <si>
    <t>Number of employees that receive performance evaluations</t>
  </si>
  <si>
    <t>Percentage of employees receiving regular performance evaluations</t>
  </si>
  <si>
    <t>Return to work and retention rates after parental leave, by gender</t>
  </si>
  <si>
    <t>Total number of people that left on maternity in the reporting year</t>
  </si>
  <si>
    <t>Total number of people that left on paternity in the reporting year</t>
  </si>
  <si>
    <t>Total number of people that came back to work after maternity or paternity</t>
  </si>
  <si>
    <t>Percentage of people that came back to work after maternity or paternity</t>
  </si>
  <si>
    <t>Entry level wage compared to local minimum wage, by gender</t>
  </si>
  <si>
    <t>Local minimum wage in each region (Mexican pesos)</t>
  </si>
  <si>
    <t>Number of employees receiving minimum wage</t>
  </si>
  <si>
    <t>NA (Closure)</t>
  </si>
  <si>
    <t>Entry level wage at each location (Mexican pesos)*</t>
  </si>
  <si>
    <t>Number of MALE employees that earn that level wage at each location</t>
  </si>
  <si>
    <t>Number of FEMALE employees that earn that level wage at each location</t>
  </si>
  <si>
    <t>Number of people that earn that level wage at each location</t>
  </si>
  <si>
    <t>Percentage of employees receiving entry level wage at each location</t>
  </si>
  <si>
    <t xml:space="preserve">Indigenous Hires </t>
  </si>
  <si>
    <t>Performance evaluations</t>
  </si>
  <si>
    <t>*Only non-union employees receive a performance evaluation</t>
  </si>
  <si>
    <t>GCV 2020</t>
  </si>
  <si>
    <t>BOL 2020</t>
  </si>
  <si>
    <t>MOS 2020</t>
  </si>
  <si>
    <t>YE 2020</t>
  </si>
  <si>
    <t>Employees</t>
  </si>
  <si>
    <t>Number of Reportable Injuries</t>
  </si>
  <si>
    <t>Number of Lost Time Injuries</t>
  </si>
  <si>
    <t xml:space="preserve">Number of fatalities </t>
  </si>
  <si>
    <t>Number of fatalities as a result of work-related ill health</t>
  </si>
  <si>
    <t>Number of near miss incidents</t>
  </si>
  <si>
    <t>Number of Hight Potential Incidents (HPI)</t>
  </si>
  <si>
    <t>Number of lost days</t>
  </si>
  <si>
    <t>Number of hours worked</t>
  </si>
  <si>
    <t>Number of occupational illnesses</t>
  </si>
  <si>
    <t>Near Miss Frequency Rate</t>
  </si>
  <si>
    <t>Contractors</t>
  </si>
  <si>
    <t>Number of fatalities</t>
  </si>
  <si>
    <t>Numbe of hours worked</t>
  </si>
  <si>
    <t>Employees and Contractors</t>
  </si>
  <si>
    <t>Health and Safety Management System</t>
  </si>
  <si>
    <t>Number of employees and contractors covered by a health and safety management system</t>
  </si>
  <si>
    <t>Percentage of employees and contractors covered by a health and safety management system</t>
  </si>
  <si>
    <t>Safety week in April. Number of workforce that participated</t>
  </si>
  <si>
    <t>Health campaigns (vaccination, breast cancer, respirational illness, etc.) Number of campaigns</t>
  </si>
  <si>
    <t>"Replicating leadership" program for supervisors (BOL). Number of workforce that participated</t>
  </si>
  <si>
    <t>"Ojo en riesgo" (Keeping your eyes on the risks) (GCV y BOL). Number of workforce that participated</t>
  </si>
  <si>
    <t>Refresher course on Safety (TPM). Number of workforce that particpated</t>
  </si>
  <si>
    <t>Drills on Chemical Substances, Earthquakes and others. Number of workforce that participated</t>
  </si>
  <si>
    <t>La oficina de Leon tambien lo tiene.</t>
  </si>
  <si>
    <t>Safety Commission (Regulatory requirement)</t>
  </si>
  <si>
    <t>Brigades (Regulatory requirement)</t>
  </si>
  <si>
    <t>Management reviews (BOL y GCV)</t>
  </si>
  <si>
    <t>Supervisor Program (BOL y GCV).</t>
  </si>
  <si>
    <t>Vancouver</t>
  </si>
  <si>
    <t>Tasa de cambio</t>
  </si>
  <si>
    <t>Education</t>
  </si>
  <si>
    <t>Local economic development</t>
  </si>
  <si>
    <t>Partnerships for community health and infrastructure</t>
  </si>
  <si>
    <t>Total Community Investment (MXP or soles)</t>
  </si>
  <si>
    <t>Community investment - Type of expense</t>
  </si>
  <si>
    <t>Cash</t>
  </si>
  <si>
    <t>In kind</t>
  </si>
  <si>
    <t>Total Community Investment (MXP)</t>
  </si>
  <si>
    <t>Community investment - Total USD</t>
  </si>
  <si>
    <t>Total Community Investment (USD)</t>
  </si>
  <si>
    <t>Not tracked</t>
  </si>
  <si>
    <t>Community Grievances</t>
  </si>
  <si>
    <t>Number of grievances in the reporting year</t>
  </si>
  <si>
    <t>Number of grievances carried out from the last resporting year</t>
  </si>
  <si>
    <t>Number of grievances closed in the reporting year</t>
  </si>
  <si>
    <t>Porcentage of grievances solved in the reporting year</t>
  </si>
  <si>
    <t xml:space="preserve">Porcentage of grievances resolved through remediation  in the reporting year </t>
  </si>
  <si>
    <t>Percentage resolved through remediation in 2025</t>
  </si>
  <si>
    <t>Number of grievances carried out for next reporting year</t>
  </si>
  <si>
    <t>Scholarships</t>
  </si>
  <si>
    <t>Scholarship recipients - Male</t>
  </si>
  <si>
    <t>Scholarship recipients - Female</t>
  </si>
  <si>
    <t>Total number of scholarships</t>
  </si>
  <si>
    <t>Skills workshops</t>
  </si>
  <si>
    <t>Number of workshops</t>
  </si>
  <si>
    <t>Workshop participants - Male</t>
  </si>
  <si>
    <t>Workshop participants - Female</t>
  </si>
  <si>
    <t>Total number of skills workshop participants</t>
  </si>
  <si>
    <t>Toneladas procesadas</t>
  </si>
  <si>
    <t>Purchased electricity</t>
  </si>
  <si>
    <t>LPG</t>
  </si>
  <si>
    <t>Gasoline (mobile equipment)</t>
  </si>
  <si>
    <t>Diesel (Generators)</t>
  </si>
  <si>
    <t xml:space="preserve">Explosives </t>
  </si>
  <si>
    <t>Unidad</t>
  </si>
  <si>
    <t>Water Withdrawal</t>
  </si>
  <si>
    <t>Surface water, including water from wetlands, rivers, lakes, and oceans</t>
  </si>
  <si>
    <r>
      <t>m</t>
    </r>
    <r>
      <rPr>
        <vertAlign val="superscript"/>
        <sz val="11"/>
        <color theme="1"/>
        <rFont val="Helvetica"/>
        <family val="2"/>
      </rPr>
      <t>3</t>
    </r>
  </si>
  <si>
    <t>Ground water (from mining)</t>
  </si>
  <si>
    <t>Third-party water (municipality, pipes, etc)</t>
  </si>
  <si>
    <t>Total Water Withdrawal</t>
  </si>
  <si>
    <r>
      <t>m</t>
    </r>
    <r>
      <rPr>
        <b/>
        <i/>
        <vertAlign val="superscript"/>
        <sz val="11"/>
        <color theme="1"/>
        <rFont val="Helvetica"/>
        <family val="2"/>
      </rPr>
      <t>3</t>
    </r>
  </si>
  <si>
    <t>Total Water Withdrawal in areas with water stress</t>
  </si>
  <si>
    <r>
      <t>m</t>
    </r>
    <r>
      <rPr>
        <vertAlign val="superscript"/>
        <sz val="11"/>
        <rFont val="Helvetica"/>
        <family val="2"/>
      </rPr>
      <t>3</t>
    </r>
  </si>
  <si>
    <t>Breakdown of total water withdrawal</t>
  </si>
  <si>
    <t>Freshwater (≤1,000 mg/L Total Dissolved Solids)</t>
  </si>
  <si>
    <t>Other water (&gt;1,000 mg/L Total Dissolved Solids)</t>
  </si>
  <si>
    <t>Water consumption</t>
  </si>
  <si>
    <t>Rainwater</t>
  </si>
  <si>
    <t>Recovered water from dry tailings pond (GCV only)</t>
  </si>
  <si>
    <t>Recycled water (from tailings and/or other reuse)</t>
  </si>
  <si>
    <t>Total Water consumption</t>
  </si>
  <si>
    <t>Percentage of water recycled</t>
  </si>
  <si>
    <t>%</t>
  </si>
  <si>
    <t>Water intensity</t>
  </si>
  <si>
    <t>Tonnes</t>
  </si>
  <si>
    <t>Water intensity by tonnes processed</t>
  </si>
  <si>
    <r>
      <t>m</t>
    </r>
    <r>
      <rPr>
        <vertAlign val="superscript"/>
        <sz val="11"/>
        <color theme="1"/>
        <rFont val="Helvetica"/>
        <family val="2"/>
      </rPr>
      <t>3</t>
    </r>
    <r>
      <rPr>
        <sz val="11"/>
        <color theme="1"/>
        <rFont val="Helvetica"/>
        <family val="2"/>
      </rPr>
      <t>/tonne</t>
    </r>
  </si>
  <si>
    <t>Water intensity by silver equivalent oz</t>
  </si>
  <si>
    <r>
      <t>m</t>
    </r>
    <r>
      <rPr>
        <vertAlign val="superscript"/>
        <sz val="11"/>
        <color theme="1"/>
        <rFont val="Helvetica"/>
        <family val="2"/>
      </rPr>
      <t>3</t>
    </r>
    <r>
      <rPr>
        <sz val="11"/>
        <color theme="1"/>
        <rFont val="Helvetica"/>
        <family val="2"/>
      </rPr>
      <t>/Ag eq oz</t>
    </r>
  </si>
  <si>
    <t>Fresh water intensity by tonnes processed</t>
  </si>
  <si>
    <t>Fresh water intensity by silver equivalent oz</t>
  </si>
  <si>
    <t>Water discharge</t>
  </si>
  <si>
    <t>Third-party water*</t>
  </si>
  <si>
    <t>Total Water discharges</t>
  </si>
  <si>
    <t>Breakdown of total water discharges</t>
  </si>
  <si>
    <t>Breakdown of total water discharges in areas with water stress</t>
  </si>
  <si>
    <t>Other water Other water (&gt;1,000 mg/L Total Dissolved Solids)</t>
  </si>
  <si>
    <t>Water Management</t>
  </si>
  <si>
    <t>Numer of incidents of non- compliance associated with water management</t>
  </si>
  <si>
    <t>Incidents</t>
  </si>
  <si>
    <t>Biodiversity - Land impacted and restored</t>
  </si>
  <si>
    <t>Total footprint of the project</t>
  </si>
  <si>
    <t>ha</t>
  </si>
  <si>
    <t>Total land restored in ther reporting year</t>
  </si>
  <si>
    <t>Total land disturbed in the reporting year</t>
  </si>
  <si>
    <t>Total land currently impacted (still to be rehabilitated)</t>
  </si>
  <si>
    <t>Biodiversity - Offsets</t>
  </si>
  <si>
    <t>Offsets - restoration works outside the footprint of the project</t>
  </si>
  <si>
    <t>Biodiversity - Reforestation and rescued fauna</t>
  </si>
  <si>
    <t>Total trees planted</t>
  </si>
  <si>
    <t>#</t>
  </si>
  <si>
    <t>Survival rate of reforestation projects</t>
  </si>
  <si>
    <t>Rescued fauna classified by NOM 059*</t>
  </si>
  <si>
    <t>fauna</t>
  </si>
  <si>
    <t>Rescued fauna not classified by NOM 059*</t>
  </si>
  <si>
    <t>UNIT</t>
  </si>
  <si>
    <t>Energy consumption by original consumption</t>
  </si>
  <si>
    <t>MWh</t>
  </si>
  <si>
    <t>lt</t>
  </si>
  <si>
    <t>Diesel (mobile equipment) for auxiliary services</t>
  </si>
  <si>
    <t>Diesel (mobile equipment) in productive process</t>
  </si>
  <si>
    <t>All diesel is tracked together</t>
  </si>
  <si>
    <t>Diesel (hauling and other equipment) in productive process</t>
  </si>
  <si>
    <t>tonnes</t>
  </si>
  <si>
    <t>Refrigerants</t>
  </si>
  <si>
    <t>kg</t>
  </si>
  <si>
    <t xml:space="preserve">Heating </t>
  </si>
  <si>
    <t>Steam</t>
  </si>
  <si>
    <t>Renewable energy*</t>
  </si>
  <si>
    <t>Energy consumption in Gigajoules</t>
  </si>
  <si>
    <t>GJ</t>
  </si>
  <si>
    <t>Total energy consumption</t>
  </si>
  <si>
    <t>Energy intensity (energy used/tonnes processed)</t>
  </si>
  <si>
    <t>GJ/tonnes</t>
  </si>
  <si>
    <t>Energy intensity (energy used/silver equivalent oz)</t>
  </si>
  <si>
    <t>GJ/Ag eq oz</t>
  </si>
  <si>
    <t>Percentage of energy from the grid</t>
  </si>
  <si>
    <t>Not reported before 2025</t>
  </si>
  <si>
    <t>USD</t>
  </si>
  <si>
    <t>Greenhouse Gas Emissions</t>
  </si>
  <si>
    <t>tCO2e</t>
  </si>
  <si>
    <t>Refrigrants</t>
  </si>
  <si>
    <t>Biogenic CO2 emissions</t>
  </si>
  <si>
    <t>Total Scope 1 GHG Emissions</t>
  </si>
  <si>
    <t>Total Scope 2 GHG Emissions</t>
  </si>
  <si>
    <t>Total Scope 1+2 GHG Emissions*</t>
  </si>
  <si>
    <t>GHG Emissions intensity (emissions/tonne processed) - Scope 1+2</t>
  </si>
  <si>
    <t>tCO2e/tonnes</t>
  </si>
  <si>
    <t>GHG Emissions intensity  (emissions/silver equivalent oz) - Scope 1+2</t>
  </si>
  <si>
    <t>tCO2e/Ag eq oz</t>
  </si>
  <si>
    <t>Purchased goods and services</t>
  </si>
  <si>
    <t>Not tracked yet</t>
  </si>
  <si>
    <t>Fuel and energy related activities</t>
  </si>
  <si>
    <t>Upstream transportation and distribution</t>
  </si>
  <si>
    <t>Business travel</t>
  </si>
  <si>
    <t>Employee commuting</t>
  </si>
  <si>
    <t>Downstream transportation and distribution</t>
  </si>
  <si>
    <t>Total Scope 3</t>
  </si>
  <si>
    <t>Total - Scope 1+2+3</t>
  </si>
  <si>
    <t>GHG Emissions intensity (emissions/tonne processed) - Scope 1+2+3</t>
  </si>
  <si>
    <t>GHG Emissions intensity  (emissions/silver equivalent oz) - Scope 1+2+3</t>
  </si>
  <si>
    <t>*Scope 1 and 2 emissions at Guanacevi are externally verified every 3 years</t>
  </si>
  <si>
    <t>Percentage of significant air emissions in or near areas of dense population (larger than 100,000 people)</t>
  </si>
  <si>
    <t>Carbon Monoxide (CO)</t>
  </si>
  <si>
    <t>Nitrogen Oxides (NOx)</t>
  </si>
  <si>
    <t>Sulfur Oxides (SOx)</t>
  </si>
  <si>
    <t>Particulate Matter (PM)</t>
  </si>
  <si>
    <t>Mercury (Hg)</t>
  </si>
  <si>
    <t>Lead (Pb)</t>
  </si>
  <si>
    <t>Persistent organic pollutants (POP)</t>
  </si>
  <si>
    <t>µg TEQ</t>
  </si>
  <si>
    <t>Volatile organic compounds (VOC)</t>
  </si>
  <si>
    <t>Hazardous air pollutants (HAP)</t>
  </si>
  <si>
    <t>2024 ESG Performance Data Tables</t>
  </si>
  <si>
    <t>Non-mineral Waste - Hazardous</t>
  </si>
  <si>
    <t>Hazardous waste (solid)</t>
  </si>
  <si>
    <t>Hazardous waste (liquid)</t>
  </si>
  <si>
    <t>Total Hazardouse Waste</t>
  </si>
  <si>
    <t>Toneladas procesadas*</t>
  </si>
  <si>
    <t>Hazardous waste intensity by tonnes processed</t>
  </si>
  <si>
    <t>kg/tonne</t>
  </si>
  <si>
    <t>Hazardous waste intensity by silver equivalent oz</t>
  </si>
  <si>
    <t>kg/Ag eq oz</t>
  </si>
  <si>
    <t>Number of incidents associated with hazardous waste management</t>
  </si>
  <si>
    <t>*Processed tonnes in Terronera include material handled prior to the start of official commercialization; therefore, they do not match the production reported in the Financial Statements and the MD&amp;A. They are included solely for comparative purposes related to energy, water, and waste generation.</t>
  </si>
  <si>
    <t>Non-mineral Waste - Non Hazardous</t>
  </si>
  <si>
    <t>Metals (scrap, copper,magneseum, bronze, tungsten, and electronics)</t>
  </si>
  <si>
    <t>Tires</t>
  </si>
  <si>
    <t>Plastics (PET, containers)</t>
  </si>
  <si>
    <t>Cardboard and paper</t>
  </si>
  <si>
    <t>Wood</t>
  </si>
  <si>
    <t>Solid urban waste - organics</t>
  </si>
  <si>
    <t>Solid urban waste - inorganics</t>
  </si>
  <si>
    <t>Total Non-Hazardouse Waste*</t>
  </si>
  <si>
    <t>Non-hazardous waste intensity by tonnes processed</t>
  </si>
  <si>
    <t>Non-hazardous waste intensity by silver equivalent oz</t>
  </si>
  <si>
    <t>Total Non-Mineral Waste</t>
  </si>
  <si>
    <t>Preparation for Reuse - onsite</t>
  </si>
  <si>
    <t>Preparation for Reuse - offsite</t>
  </si>
  <si>
    <t>Recycling - onsite</t>
  </si>
  <si>
    <t>Recycling - offsite</t>
  </si>
  <si>
    <t>Co-processing - onsite</t>
  </si>
  <si>
    <t>Co-processing - offsite</t>
  </si>
  <si>
    <t>Final disposition landfill/incineration - onsite</t>
  </si>
  <si>
    <t>Final disposition landfill/incineration - offsite</t>
  </si>
  <si>
    <t>Total Non- Hazardous Waste</t>
  </si>
  <si>
    <t>*2025 is the first year we separate hazardous and non-hazardous by onsite and offsite.</t>
  </si>
  <si>
    <t>Non-mineral Waste - Non Hazardous - Disposal Method - Onsite and Offsite</t>
  </si>
  <si>
    <t>Non-mineral Waste - Disposal Method - Offsite and Onsite</t>
  </si>
  <si>
    <t>Preparation for Reuse</t>
  </si>
  <si>
    <t>Recycling</t>
  </si>
  <si>
    <t>Co-processing</t>
  </si>
  <si>
    <t>Final disposition landfill/incineration</t>
  </si>
  <si>
    <t>Percentage that does not go to landfill</t>
  </si>
  <si>
    <t>Mineral Waste</t>
  </si>
  <si>
    <t>Wasterock (inside the mine)</t>
  </si>
  <si>
    <t>Wasterock (outside the mine)</t>
  </si>
  <si>
    <t>Total Wasterock</t>
  </si>
  <si>
    <t>Tailings</t>
  </si>
  <si>
    <t>Sludges</t>
  </si>
  <si>
    <t>Total Mineral Waste</t>
  </si>
  <si>
    <t>Transportation and final disposition of waste</t>
  </si>
  <si>
    <t>MXP</t>
  </si>
  <si>
    <t>Environmental studies</t>
  </si>
  <si>
    <t>Monitoring</t>
  </si>
  <si>
    <t>Project</t>
  </si>
  <si>
    <t>Tailings ponds</t>
  </si>
  <si>
    <t>Total Environmental Expenses (MXP)</t>
  </si>
  <si>
    <t>Environmental expenses (USD)</t>
  </si>
  <si>
    <t>Total Environmental Expenses (USD)</t>
  </si>
  <si>
    <t>Spills</t>
  </si>
  <si>
    <t>Non-reportable spills</t>
  </si>
  <si>
    <t>derrame</t>
  </si>
  <si>
    <t>Volume of no-reportable spills</t>
  </si>
  <si>
    <t>m3</t>
  </si>
  <si>
    <t>Reportable spills (critical incidents)</t>
  </si>
  <si>
    <t>Volume of reportable spills</t>
  </si>
  <si>
    <t>GRI Topic</t>
  </si>
  <si>
    <t>GRI 14</t>
  </si>
  <si>
    <t>ISS</t>
  </si>
  <si>
    <t>Pitarrilla 
(y Exploración)</t>
  </si>
  <si>
    <t>Oficina Regional
León</t>
  </si>
  <si>
    <t xml:space="preserve">Exploración </t>
  </si>
  <si>
    <t>Oficinas Corporativas
Vancouver</t>
  </si>
  <si>
    <t>2-7bi</t>
  </si>
  <si>
    <t>2-7a</t>
  </si>
  <si>
    <t>2-7bi, 2-7bii</t>
  </si>
  <si>
    <t>2-8</t>
  </si>
  <si>
    <t>EM-MM-000B</t>
  </si>
  <si>
    <t>Construcción de la planta</t>
  </si>
  <si>
    <t>405-1bi</t>
  </si>
  <si>
    <t>14.9.6</t>
  </si>
  <si>
    <t>Revisar formula que se ocupó en 2023 para arrastrarla a 2024</t>
  </si>
  <si>
    <t>2-30a</t>
  </si>
  <si>
    <t>Percentage of total employees covered by collective bargaining agreements;</t>
  </si>
  <si>
    <t>405-1bii</t>
  </si>
  <si>
    <t>202-2 a</t>
  </si>
  <si>
    <t>* 2021 and 2020 numbers only capture the top department managers at each location, whereas in 2022 we expanded our definition to include anyone in a leaderhip position (leading a role or supervising people)</t>
  </si>
  <si>
    <t>401-1a</t>
  </si>
  <si>
    <t>401-1b</t>
  </si>
  <si>
    <t>Turnover rate for all employees</t>
  </si>
  <si>
    <t>404-1a</t>
  </si>
  <si>
    <t>Hours of Training and Education by employee category</t>
  </si>
  <si>
    <t>404-1aii</t>
  </si>
  <si>
    <t>General Manager</t>
  </si>
  <si>
    <t>Area Directors</t>
  </si>
  <si>
    <t>Deputy Directors</t>
  </si>
  <si>
    <t>Managers</t>
  </si>
  <si>
    <t>Analysts</t>
  </si>
  <si>
    <t>Interns</t>
  </si>
  <si>
    <t>Security</t>
  </si>
  <si>
    <t>Preguntar a EDNA PIIMA</t>
  </si>
  <si>
    <t>EM.MM-320a.1</t>
  </si>
  <si>
    <t>Operations assessed for risks related to corruption</t>
  </si>
  <si>
    <t>205-1a</t>
  </si>
  <si>
    <t>Percentage of operations assessed for risks related to corruption.</t>
  </si>
  <si>
    <t>205-2a</t>
  </si>
  <si>
    <t>Percentage of governance body members that the organization’s anti- corruption policies and procedures have been communicated</t>
  </si>
  <si>
    <t>205-2 b</t>
  </si>
  <si>
    <t>Percentage of employees that the organization’s anti-corruption policies and procedures have been communicated</t>
  </si>
  <si>
    <t xml:space="preserve">205-2 </t>
  </si>
  <si>
    <t>Percentage of business partners that the organization’s anti- corruption policies and procedures have been communicated</t>
  </si>
  <si>
    <t>Anti-corruption training</t>
  </si>
  <si>
    <t>205-2 d</t>
  </si>
  <si>
    <t>Percentage of governance body members that have received training on anti-corruption</t>
  </si>
  <si>
    <t>205-2 e</t>
  </si>
  <si>
    <t>Percentage of employees that have received training on anti- corruption</t>
  </si>
  <si>
    <t>205-3a</t>
  </si>
  <si>
    <t>205-3b</t>
  </si>
  <si>
    <t>205-3c</t>
  </si>
  <si>
    <t>404-3a</t>
  </si>
  <si>
    <t>401-3a, 401-3b</t>
  </si>
  <si>
    <t>401-3a</t>
  </si>
  <si>
    <t>401-3c, 401-3d</t>
  </si>
  <si>
    <t>401-3e</t>
  </si>
  <si>
    <t>405-2a</t>
  </si>
  <si>
    <t>202-1a</t>
  </si>
  <si>
    <t>2-21a</t>
  </si>
  <si>
    <t>Percentage of the annual total compensation for the organization’s highest-paid individual to the median annual total compensation for all employees</t>
  </si>
  <si>
    <t>MEXICO</t>
  </si>
  <si>
    <t>PERU</t>
  </si>
  <si>
    <t>CANADA</t>
  </si>
  <si>
    <t>Exploration (including Pitarrilla, Chile and US)</t>
  </si>
  <si>
    <t>Cubo*</t>
  </si>
  <si>
    <t>Cubo</t>
  </si>
  <si>
    <t>Pitarrilla</t>
  </si>
  <si>
    <t>Economic Value distributed and Retained (Thousands of USD)</t>
  </si>
  <si>
    <t>Direct Economic Value</t>
  </si>
  <si>
    <t>Revenues</t>
  </si>
  <si>
    <t xml:space="preserve">Indirect economic value: </t>
  </si>
  <si>
    <t>Cost of sales - direct</t>
  </si>
  <si>
    <t>Employee wages and benefits</t>
  </si>
  <si>
    <t>Payments to providers of capital</t>
  </si>
  <si>
    <t>Payments to Mexico's government [taxes]</t>
  </si>
  <si>
    <t>Payments to Peru's government [taxes]</t>
  </si>
  <si>
    <t>Not reported</t>
  </si>
  <si>
    <t>Payments to Canada's governments [taxes]</t>
  </si>
  <si>
    <t>Payments to governments [payroll taxes, employer portion only] - Mexico</t>
  </si>
  <si>
    <t>Payments to governments [payroll taxes, employer portion only] - Peru</t>
  </si>
  <si>
    <t>Payments to governments [payroll taxes, employer portion only] - Canada</t>
  </si>
  <si>
    <t>Land use payments</t>
  </si>
  <si>
    <t>Community investment (including infrastructure)</t>
  </si>
  <si>
    <t>Total Economic Value Distributed</t>
  </si>
  <si>
    <t>Total Economic Value Retained</t>
  </si>
  <si>
    <t>Production</t>
  </si>
  <si>
    <t>Tonnes processed</t>
  </si>
  <si>
    <t>Oz Silver</t>
  </si>
  <si>
    <t>Oz Gold</t>
  </si>
  <si>
    <t>Tonnes of lead</t>
  </si>
  <si>
    <t>Tonnes of zinc</t>
  </si>
  <si>
    <t>Tonnes of copper</t>
  </si>
  <si>
    <r>
      <rPr>
        <vertAlign val="superscript"/>
        <sz val="9"/>
        <rFont val="Helvetica Neue"/>
        <family val="2"/>
      </rPr>
      <t>3</t>
    </r>
    <r>
      <rPr>
        <sz val="9"/>
        <rFont val="Helvetica Neue"/>
        <family val="2"/>
      </rPr>
      <t>Silver equivalents are calculated using an 80:1 Ag:Au ratio, 60:1 Ag:Pb ratio, 85:1 Ag:Zn ratio and 300:1 Ag:Cu ratio.</t>
    </r>
  </si>
  <si>
    <t>Provision for reclamation and rehabilitation</t>
  </si>
  <si>
    <t>Sites that have closure plans</t>
  </si>
  <si>
    <t>Financial provision for closure</t>
  </si>
  <si>
    <t>Local Procurement - Goods and Services (Thousdands of USD)</t>
  </si>
  <si>
    <t>Total procurement spent locally (within state)</t>
  </si>
  <si>
    <t>Total procurement spent nationally (outside the state)</t>
  </si>
  <si>
    <t>Total procurement spent internationally</t>
  </si>
  <si>
    <t>Total procurement on Goods and services</t>
  </si>
  <si>
    <t>Percentage of state wide local procurement</t>
  </si>
  <si>
    <t>Percentage of international procurement</t>
  </si>
  <si>
    <t>Local Procurement - only Goods (Thousands of USD)</t>
  </si>
  <si>
    <t>Total procurement spent nationally (within the country)</t>
  </si>
  <si>
    <t>Total procurement on Goods</t>
  </si>
  <si>
    <t>Local Procurement - only Services (Thousands of USD)</t>
  </si>
  <si>
    <t>Total procurement on Services</t>
  </si>
  <si>
    <t>Procurement of Cianide (tonnes)</t>
  </si>
  <si>
    <t>Cyanide</t>
  </si>
  <si>
    <t>Usage of conflict minerals*</t>
  </si>
  <si>
    <t>Tin (Sn)</t>
  </si>
  <si>
    <t>We do not use any conflict minerals in our processes</t>
  </si>
  <si>
    <t>Tantalum (Ta)</t>
  </si>
  <si>
    <t>Tungsten (W)</t>
  </si>
  <si>
    <t>Gold (Au)</t>
  </si>
  <si>
    <t>*2025 s the first year we include information about conflict minerals</t>
  </si>
  <si>
    <t>Non-compliance with laws and regulations - environment*</t>
  </si>
  <si>
    <t>Number of fines</t>
  </si>
  <si>
    <t>Monetary sanctions (USD)</t>
  </si>
  <si>
    <t>Estimated value for non-monetary sanctions (USD)</t>
  </si>
  <si>
    <t>Non-compliance with laws and regulations - corruption*</t>
  </si>
  <si>
    <t>Non-compliance with laws and regulations - unfair/unethical competitions*</t>
  </si>
  <si>
    <t>Other Non-compliance with laws and regulations) (Excluding environment, corruption and unfair/unethical competition)</t>
  </si>
  <si>
    <t>Number of fines -</t>
  </si>
  <si>
    <t>*2025 is the first year we present the breakdown of the fines separating environmental corruption and ethics related</t>
  </si>
  <si>
    <t>CAD to MXN = 13.1372</t>
  </si>
  <si>
    <t>USD to MXN = 19.17</t>
  </si>
  <si>
    <t>USD to PERU SOL = 3.52</t>
  </si>
  <si>
    <t>USD to CAD = 1.34934</t>
  </si>
  <si>
    <t>*Cubo was sold in 2021, however Endeavour Silver still has legal procedures and the concession right under their name.</t>
  </si>
  <si>
    <t>We use the following reporting frameworks to guide our disclosures: The GRI Standards, the GRI 14: Mining Sector 2024, and the Sustainability Accounting Standards Board (SASB) and Metals &amp; Mining Industry Standard</t>
  </si>
  <si>
    <t xml:space="preserve">We report data for the past four calendar years, 2025, 2024, 2023 and 2022, which correspond to our fiscal reporting periods. Data includes all of Endeavour Silver's operations: our four producing precious metal mines: the Guanacevi mine in Durango, the Bolañitos mine in Guanajuato, the Terronera mine in Jalisco, Mexico, and the Kolpa mine in Peru; our exploration staff; the administratives offices in Leon, Mexico and Lima, Peru; and our head office in Vancouver, Canada. Any restatements of data included in a previous report are described in the explanatory notes below the corresponding table. We have introduced a new tab for Governance indicators, which contains data from the past 2 years. </t>
  </si>
  <si>
    <t>*Operations include Guanaceví, Bolañitos, Terronera and Kolpa</t>
  </si>
  <si>
    <t xml:space="preserve">*This classification considers where employees are based, not where they are originally from. The mine in Peru was acquired in May 2025, thus data from previous years is non aplicable. </t>
  </si>
  <si>
    <t>*Senior management is defined as anyone in a leaderhip position (leading a role or supervising people)</t>
  </si>
  <si>
    <t>Performance evaluations*</t>
  </si>
  <si>
    <r>
      <rPr>
        <vertAlign val="superscript"/>
        <sz val="9"/>
        <color theme="1"/>
        <rFont val="Helvetica Neue"/>
        <family val="2"/>
      </rPr>
      <t>1</t>
    </r>
    <r>
      <rPr>
        <sz val="9"/>
        <color theme="1"/>
        <rFont val="Helvetica Neue"/>
        <family val="2"/>
      </rPr>
      <t>Only non-union employees receive a performance evaluation</t>
    </r>
  </si>
  <si>
    <t>N/A**</t>
  </si>
  <si>
    <t>**Bolañitos was sold in December so performance evaluations were no longer applied there.</t>
  </si>
  <si>
    <t>Total number of people that took maternity leave</t>
  </si>
  <si>
    <t>Total number of people that took paternity leave</t>
  </si>
  <si>
    <t>The total training hours for union and non union employees for 2022 had an error in the calculation, these values have been restated with the correct calculation</t>
  </si>
  <si>
    <t>The average hours per gender for training  for 2024 and 2023 had an error in the calculation, these values have been restated with the correct calculation</t>
  </si>
  <si>
    <t>Community investment - Total MXP or Soles (YVR in USD)</t>
  </si>
  <si>
    <t>YE 2025*</t>
  </si>
  <si>
    <t>*Data from Kolpa for watr and biodiversity was not included in 2025 as we are working on the integration of tracking systems to report accurately</t>
  </si>
  <si>
    <t>Scope 3 emissions values from 2024 for fuel and energy related activities were restated as we updated the emission factor for a more accurate one for Mexico</t>
  </si>
  <si>
    <t xml:space="preserve">*2024 was the first year include renewable energy. As part of our agreement with the Energy Utility, 13.9% of the electricity consumption in BOL comes from renewable energy. </t>
  </si>
  <si>
    <t>Air Emissions</t>
  </si>
  <si>
    <t>Non-mineral Waste - Hazardous - Disposal Method - Onsite and Offsite*</t>
  </si>
  <si>
    <t>Total Hazardous Waste</t>
  </si>
  <si>
    <t>**The total hazardous waste data from Kolpa doesn't add up since they have a temporal storage that currently has no tracking system in place for it. The amounts are only reflected when the materials leave the facility with an authorized supplier. This will be addressed in 2026.</t>
  </si>
  <si>
    <t xml:space="preserve">Environmental expenses (MXP y soles) </t>
  </si>
  <si>
    <t>Kolpa**</t>
  </si>
  <si>
    <t>**Kolpa was acquired in May, 2025. The financial numbers reflect only the 8 months of ownership of Endeavour. The rest of the data presented is all for the 12 month period.</t>
  </si>
  <si>
    <t>***Payments to governments. As a Canadian company, we are compliant with the Extractive Sector Transparency Measures Act, which requires Canadian companies to disclose any payments to governments. We don´t pay taxes yet in Chile and the U.S., as we only have projects there.</t>
  </si>
  <si>
    <t>Oz Silver equivalent***</t>
  </si>
  <si>
    <t>$           4,060*</t>
  </si>
  <si>
    <t>*Bolañitos was sold in early 2026. This amount was classified as held for sale in the 2025 Financial Statements</t>
  </si>
  <si>
    <t>Data is presented in the metric system. All currency is in U.S. dollars, unless otherwise noted. Intensity measures are used to ensure comparability among the sites and other companies and are calculated based on tonnes of mineral processed and silver equivalent ounces. Intensity measures are only applicable to our producing sites, Bolañitos, Guanacevi, Terronera and Kolpa. We use "N/A" for when the data point is Not Applicable to the site, and "Not tracked" when the information is not available</t>
  </si>
  <si>
    <t>Tracked in the sites*</t>
  </si>
  <si>
    <t>Reportable Injury Frequency Rate*</t>
  </si>
  <si>
    <t>Lost Time Injury Frequency Rate**</t>
  </si>
  <si>
    <t>Lost Time Injury Severity Rate***</t>
  </si>
  <si>
    <t>*Reportable Injury Frequency Rate is (Total number of recordable injuries x 200,000 hours)/ total worked hours.</t>
  </si>
  <si>
    <t>**Lost Time Injury Frequency Rate is (Total lost time injuries x 200,000 hours)/ total worked hours.</t>
  </si>
  <si>
    <t>***Lost Time Injury Severity Rate is (Total lost time days x 200,000 hours)/ total worked hours.</t>
  </si>
  <si>
    <r>
      <t xml:space="preserve">Questions or feedback? </t>
    </r>
    <r>
      <rPr>
        <b/>
        <sz val="12"/>
        <rFont val="Helvetica Neue"/>
        <family val="2"/>
      </rPr>
      <t>Contact Allison Pettit, Director Investor Relations at apettit@edrsilver.com</t>
    </r>
  </si>
  <si>
    <t>Health and Safety Measures to improve Health and Safety*</t>
  </si>
  <si>
    <t>*2025 is the first year we report this information in the ESG Performance Data Tables</t>
  </si>
  <si>
    <t>ELSSA (Healthy and Safe Working Spaces) certification**</t>
  </si>
  <si>
    <t>**León office also obtains this certificación</t>
  </si>
  <si>
    <t>Health and Safety Committees*</t>
  </si>
  <si>
    <t>Temporary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</si>
</sst>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44" formatCode="_(&quot;$&quot;* #,##0.00_);_(&quot;$&quot;* \(#,##0.00\);_(&quot;$&quot;* &quot;-&quot;??_);_(@_)"/>
    <numFmt numFmtId="43" formatCode="_(* #,##0.00_);_(* \(#,##0.00\);_(* &quot;-&quot;??_);_(@_)"/>
    <numFmt numFmtId="164" formatCode="_(* #,##0_);_(* \(#,##0\);_(* &quot;-&quot;??_);_(@_)"/>
    <numFmt numFmtId="165" formatCode="0.0%"/>
    <numFmt numFmtId="166" formatCode="_-[$$-80A]* #,##0_-;\-[$$-80A]* #,##0_-;_-[$$-80A]* &quot;-&quot;??_-;_-@"/>
    <numFmt numFmtId="167" formatCode="_(&quot;$&quot;* #,##0_);_(&quot;$&quot;* \(#,##0\);_(&quot;$&quot;* &quot;-&quot;??_);_(@_)"/>
    <numFmt numFmtId="168" formatCode="_(* #,##0.000_);_(* \(#,##0.000\);_(* &quot;-&quot;??_);_(@_)"/>
    <numFmt numFmtId="169" formatCode="0.000"/>
    <numFmt numFmtId="170" formatCode="0.0000"/>
    <numFmt numFmtId="171" formatCode="#,##0.00000000000_);\(#,##0.00000000000\)"/>
    <numFmt numFmtId="172" formatCode="#,##0.0"/>
    <numFmt numFmtId="173" formatCode="#,##0.000"/>
    <numFmt numFmtId="174" formatCode="_-[$$-409]* #,##0_ ;_-[$$-409]* \-#,##0\ ;_-[$$-409]* &quot;-&quot;??_ ;_-@_ "/>
    <numFmt numFmtId="175" formatCode="_-[$$-80A]* #,##0.00_-;\-[$$-80A]* #,##0.00_-;_-[$$-80A]* &quot;-&quot;??_-;_-@"/>
    <numFmt numFmtId="176" formatCode="&quot;$&quot;#,##0.00"/>
    <numFmt numFmtId="177" formatCode="_-* #,##0_-;\-* #,##0_-;_-* &quot;-&quot;??_-;_-@_-"/>
    <numFmt numFmtId="178" formatCode="0.000%"/>
    <numFmt numFmtId="179" formatCode="_(* #,##0.0_);_(* \(#,##0.0\);_(* &quot;-&quot;??_);_(@_)"/>
    <numFmt numFmtId="180" formatCode="_(* #,##0.0000_);_(* \(#,##0.0000\);_(* &quot;-&quot;??_);_(@_)"/>
    <numFmt numFmtId="181" formatCode="_(&quot;$&quot;* #,##0.0_);_(&quot;$&quot;* \(#,##0.0\);_(&quot;$&quot;* &quot;-&quot;??_);_(@_)"/>
    <numFmt numFmtId="182" formatCode="_(* #,##0.000_);_(* \(#,##0.000\);_(* &quot;-&quot;???_);_(@_)"/>
  </numFmts>
  <fonts count="64">
    <font>
      <sz val="12"/>
      <color theme="1"/>
      <name val="Aptos Narrow"/>
      <scheme val="minor"/>
    </font>
    <font>
      <sz val="12"/>
      <color theme="1"/>
      <name val="Aptos Narrow"/>
      <family val="2"/>
      <scheme val="minor"/>
    </font>
    <font>
      <sz val="12"/>
      <color theme="1"/>
      <name val="Aptos Narrow"/>
      <family val="2"/>
      <scheme val="minor"/>
    </font>
    <font>
      <b/>
      <sz val="18"/>
      <color theme="0"/>
      <name val="Helvetica Neue"/>
      <family val="2"/>
    </font>
    <font>
      <b/>
      <sz val="16"/>
      <color theme="1"/>
      <name val="Arial"/>
      <family val="2"/>
    </font>
    <font>
      <sz val="12"/>
      <color theme="1"/>
      <name val="Aptos Narrow"/>
      <family val="2"/>
    </font>
    <font>
      <b/>
      <sz val="18"/>
      <color theme="1"/>
      <name val="Helvetica Neue"/>
      <family val="2"/>
    </font>
    <font>
      <sz val="10"/>
      <color theme="1"/>
      <name val="Helvetica Neue"/>
      <family val="2"/>
    </font>
    <font>
      <sz val="10"/>
      <color theme="1"/>
      <name val="Aptos Narrow"/>
      <family val="2"/>
    </font>
    <font>
      <sz val="11"/>
      <color theme="1"/>
      <name val="Helvetica Neue"/>
      <family val="2"/>
    </font>
    <font>
      <sz val="12"/>
      <color theme="1"/>
      <name val="Helvetica Neue"/>
      <family val="2"/>
    </font>
    <font>
      <b/>
      <sz val="12"/>
      <color theme="0"/>
      <name val="Helvetica Neue"/>
      <family val="2"/>
    </font>
    <font>
      <sz val="12"/>
      <name val="Aptos Narrow"/>
      <family val="2"/>
    </font>
    <font>
      <b/>
      <sz val="11"/>
      <color theme="0"/>
      <name val="Helvetica Neue"/>
      <family val="2"/>
    </font>
    <font>
      <b/>
      <sz val="11"/>
      <color theme="1"/>
      <name val="Helvetica Neue"/>
      <family val="2"/>
    </font>
    <font>
      <b/>
      <i/>
      <sz val="11"/>
      <color theme="1"/>
      <name val="Helvetica Neue"/>
      <family val="2"/>
    </font>
    <font>
      <sz val="9"/>
      <color theme="1"/>
      <name val="Helvetica Neue"/>
      <family val="2"/>
    </font>
    <font>
      <sz val="11"/>
      <color rgb="FFF1C232"/>
      <name val="Helvetica Neue"/>
      <family val="2"/>
    </font>
    <font>
      <sz val="11"/>
      <color rgb="FF000000"/>
      <name val="Helvetica Neue"/>
      <family val="2"/>
    </font>
    <font>
      <b/>
      <sz val="11"/>
      <color rgb="FF000000"/>
      <name val="Helvetica Neue"/>
      <family val="2"/>
    </font>
    <font>
      <b/>
      <i/>
      <sz val="11"/>
      <color rgb="FF000000"/>
      <name val="Helvetica Neue"/>
      <family val="2"/>
    </font>
    <font>
      <i/>
      <sz val="11"/>
      <color theme="1"/>
      <name val="Helvetica Neue"/>
      <family val="2"/>
    </font>
    <font>
      <b/>
      <sz val="11"/>
      <color rgb="FFFFFFFF"/>
      <name val="Helvetica Neue"/>
      <family val="2"/>
    </font>
    <font>
      <b/>
      <sz val="12"/>
      <color theme="1"/>
      <name val="Aptos Narrow"/>
      <family val="2"/>
    </font>
    <font>
      <b/>
      <sz val="10"/>
      <color theme="0"/>
      <name val="Helvetica Neue"/>
      <family val="2"/>
    </font>
    <font>
      <i/>
      <sz val="11"/>
      <color rgb="FF000000"/>
      <name val="Helvetica Neue"/>
      <family val="2"/>
    </font>
    <font>
      <b/>
      <sz val="10"/>
      <color theme="1"/>
      <name val="Helvetica"/>
      <family val="2"/>
    </font>
    <font>
      <sz val="10"/>
      <color theme="1"/>
      <name val="Helvetica"/>
      <family val="2"/>
    </font>
    <font>
      <vertAlign val="superscript"/>
      <sz val="11"/>
      <color theme="1"/>
      <name val="Helvetica"/>
      <family val="2"/>
    </font>
    <font>
      <b/>
      <i/>
      <vertAlign val="superscript"/>
      <sz val="11"/>
      <color theme="1"/>
      <name val="Helvetica"/>
      <family val="2"/>
    </font>
    <font>
      <sz val="11"/>
      <color theme="1"/>
      <name val="Helvetica"/>
      <family val="2"/>
    </font>
    <font>
      <u/>
      <sz val="12"/>
      <color theme="10"/>
      <name val="Aptos Narrow"/>
      <family val="2"/>
      <scheme val="minor"/>
    </font>
    <font>
      <b/>
      <sz val="11"/>
      <name val="Helvetica Neue"/>
      <family val="2"/>
    </font>
    <font>
      <sz val="11"/>
      <name val="Helvetica Neue"/>
      <family val="2"/>
    </font>
    <font>
      <sz val="12"/>
      <name val="Aptos Narrow"/>
      <family val="2"/>
      <scheme val="minor"/>
    </font>
    <font>
      <sz val="9"/>
      <name val="Helvetica Neue"/>
      <family val="2"/>
    </font>
    <font>
      <b/>
      <i/>
      <sz val="11"/>
      <name val="Helvetica Neue"/>
      <family val="2"/>
    </font>
    <font>
      <vertAlign val="superscript"/>
      <sz val="11"/>
      <name val="Helvetica"/>
      <family val="2"/>
    </font>
    <font>
      <i/>
      <sz val="11"/>
      <name val="Helvetica Neue"/>
      <family val="2"/>
    </font>
    <font>
      <sz val="12"/>
      <color theme="0"/>
      <name val="Aptos Narrow"/>
      <family val="2"/>
    </font>
    <font>
      <sz val="12"/>
      <color theme="0"/>
      <name val="Aptos Narrow"/>
      <family val="2"/>
      <scheme val="minor"/>
    </font>
    <font>
      <b/>
      <sz val="12"/>
      <name val="Helvetica Neue"/>
      <family val="2"/>
    </font>
    <font>
      <b/>
      <sz val="11"/>
      <color theme="1"/>
      <name val="Helvetica"/>
      <family val="2"/>
    </font>
    <font>
      <b/>
      <i/>
      <sz val="11"/>
      <color theme="1"/>
      <name val="Helvetica"/>
      <family val="2"/>
    </font>
    <font>
      <sz val="9"/>
      <color theme="1"/>
      <name val="Helvetica"/>
      <family val="2"/>
    </font>
    <font>
      <i/>
      <sz val="11"/>
      <color theme="1"/>
      <name val="Helvetica"/>
      <family val="2"/>
    </font>
    <font>
      <sz val="11"/>
      <name val="Aptos Narrow"/>
      <family val="2"/>
    </font>
    <font>
      <sz val="11"/>
      <color theme="0"/>
      <name val="Aptos Narrow"/>
      <family val="2"/>
    </font>
    <font>
      <sz val="11"/>
      <color theme="1"/>
      <name val="Aptos Narrow"/>
      <family val="2"/>
    </font>
    <font>
      <vertAlign val="superscript"/>
      <sz val="9"/>
      <name val="Helvetica Neue"/>
      <family val="2"/>
    </font>
    <font>
      <sz val="11"/>
      <color rgb="FFFF0000"/>
      <name val="Helvetica Neue"/>
      <family val="2"/>
    </font>
    <font>
      <b/>
      <i/>
      <sz val="12"/>
      <name val="Aptos Narrow"/>
      <family val="2"/>
    </font>
    <font>
      <b/>
      <i/>
      <sz val="12"/>
      <name val="Aptos Narrow"/>
      <family val="2"/>
      <scheme val="minor"/>
    </font>
    <font>
      <b/>
      <sz val="12"/>
      <color theme="1"/>
      <name val="Aptos Narrow"/>
      <family val="2"/>
      <scheme val="minor"/>
    </font>
    <font>
      <b/>
      <i/>
      <sz val="12"/>
      <color theme="1"/>
      <name val="Aptos Narrow"/>
      <family val="2"/>
      <scheme val="minor"/>
    </font>
    <font>
      <b/>
      <sz val="12"/>
      <color theme="1"/>
      <name val="Aptos Narrow"/>
      <family val="2"/>
      <scheme val="minor"/>
    </font>
    <font>
      <sz val="12"/>
      <color theme="1"/>
      <name val="Aptos Narrow"/>
      <scheme val="minor"/>
    </font>
    <font>
      <sz val="10"/>
      <name val="Arial"/>
      <family val="2"/>
    </font>
    <font>
      <sz val="11"/>
      <color theme="1"/>
      <name val="Aptos Narrow"/>
      <scheme val="minor"/>
    </font>
    <font>
      <b/>
      <sz val="16"/>
      <color theme="0"/>
      <name val="Helvetica Neue"/>
      <family val="2"/>
    </font>
    <font>
      <sz val="12"/>
      <color theme="0"/>
      <name val="Aptos Narrow"/>
    </font>
    <font>
      <vertAlign val="superscript"/>
      <sz val="9"/>
      <color theme="1"/>
      <name val="Helvetica Neue"/>
      <family val="2"/>
    </font>
    <font>
      <u/>
      <sz val="12"/>
      <color theme="10"/>
      <name val="Helvetica Neue"/>
      <family val="2"/>
    </font>
    <font>
      <sz val="12"/>
      <name val="Helvetica Neue"/>
      <family val="2"/>
    </font>
  </fonts>
  <fills count="24">
    <fill>
      <patternFill patternType="none"/>
    </fill>
    <fill>
      <patternFill patternType="gray125"/>
    </fill>
    <fill>
      <patternFill patternType="solid">
        <fgColor rgb="FF780002"/>
        <bgColor rgb="FF780002"/>
      </patternFill>
    </fill>
    <fill>
      <patternFill patternType="solid">
        <fgColor rgb="FFD8D8D8"/>
        <bgColor rgb="FFD8D8D8"/>
      </patternFill>
    </fill>
    <fill>
      <patternFill patternType="solid">
        <fgColor rgb="FFD0D0D0"/>
        <bgColor rgb="FFD0D0D0"/>
      </patternFill>
    </fill>
    <fill>
      <patternFill patternType="solid">
        <fgColor theme="0"/>
        <bgColor theme="0"/>
      </patternFill>
    </fill>
    <fill>
      <patternFill patternType="solid">
        <fgColor rgb="FFDBE9F7"/>
        <bgColor rgb="FFDBE9F7"/>
      </patternFill>
    </fill>
    <fill>
      <patternFill patternType="solid">
        <fgColor rgb="FFCAEDFB"/>
        <bgColor rgb="FFCAEDFB"/>
      </patternFill>
    </fill>
    <fill>
      <patternFill patternType="solid">
        <fgColor rgb="FFC1E4F5"/>
        <bgColor rgb="FFC1E4F5"/>
      </patternFill>
    </fill>
    <fill>
      <patternFill patternType="solid">
        <fgColor rgb="FF780301"/>
        <bgColor rgb="FF780301"/>
      </patternFill>
    </fill>
    <fill>
      <patternFill patternType="solid">
        <fgColor rgb="FFD9D9D9"/>
        <bgColor rgb="FFD9D9D9"/>
      </patternFill>
    </fill>
    <fill>
      <patternFill patternType="solid">
        <fgColor rgb="FF8ED873"/>
        <bgColor rgb="FF8ED873"/>
      </patternFill>
    </fill>
    <fill>
      <patternFill patternType="solid">
        <fgColor rgb="FFD9F2D0"/>
        <bgColor rgb="FFD9F2D0"/>
      </patternFill>
    </fill>
    <fill>
      <patternFill patternType="solid">
        <fgColor rgb="FFFFFF00"/>
        <bgColor rgb="FFFFFF00"/>
      </patternFill>
    </fill>
    <fill>
      <patternFill patternType="solid">
        <fgColor rgb="FFFF0000"/>
        <bgColor rgb="FFFF0000"/>
      </patternFill>
    </fill>
    <fill>
      <patternFill patternType="solid">
        <fgColor theme="0" tint="-0.14999847407452621"/>
        <bgColor indexed="64"/>
      </patternFill>
    </fill>
    <fill>
      <patternFill patternType="solid">
        <fgColor theme="0" tint="-0.14999847407452621"/>
        <bgColor rgb="FFDBE9F7"/>
      </patternFill>
    </fill>
    <fill>
      <patternFill patternType="solid">
        <fgColor theme="4" tint="0.79998168889431442"/>
        <bgColor theme="0"/>
      </patternFill>
    </fill>
    <fill>
      <patternFill patternType="solid">
        <fgColor theme="0"/>
        <bgColor indexed="64"/>
      </patternFill>
    </fill>
    <fill>
      <patternFill patternType="solid">
        <fgColor theme="0" tint="-0.14999847407452621"/>
        <bgColor theme="0"/>
      </patternFill>
    </fill>
    <fill>
      <patternFill patternType="solid">
        <fgColor theme="7" tint="0.79998168889431442"/>
        <bgColor indexed="64"/>
      </patternFill>
    </fill>
    <fill>
      <patternFill patternType="solid">
        <fgColor theme="0" tint="-0.14999847407452621"/>
        <bgColor rgb="FFD8D8D8"/>
      </patternFill>
    </fill>
    <fill>
      <patternFill patternType="solid">
        <fgColor theme="0" tint="-0.14999847407452621"/>
        <bgColor rgb="FFCAEDFB"/>
      </patternFill>
    </fill>
    <fill>
      <patternFill patternType="solid">
        <fgColor theme="4" tint="0.79998168889431442"/>
        <bgColor indexed="64"/>
      </patternFill>
    </fill>
  </fills>
  <borders count="32">
    <border>
      <left/>
      <right/>
      <top/>
      <bottom/>
      <diagonal/>
    </border>
    <border>
      <left/>
      <right/>
      <top/>
      <bottom/>
      <diagonal/>
    </border>
    <border>
      <left style="thin">
        <color rgb="FFE8E8E8"/>
      </left>
      <right style="thin">
        <color rgb="FFE8E8E8"/>
      </right>
      <top style="thin">
        <color rgb="FFE8E8E8"/>
      </top>
      <bottom style="thin">
        <color rgb="FFE8E8E8"/>
      </bottom>
      <diagonal/>
    </border>
    <border>
      <left style="thin">
        <color rgb="FFE8E8E8"/>
      </left>
      <right style="thin">
        <color rgb="FFE8E8E8"/>
      </right>
      <top style="thin">
        <color rgb="FFE8E8E8"/>
      </top>
      <bottom/>
      <diagonal/>
    </border>
    <border>
      <left style="thin">
        <color rgb="FFE8E8E8"/>
      </left>
      <right style="thin">
        <color rgb="FFE8E8E8"/>
      </right>
      <top/>
      <bottom style="thin">
        <color rgb="FFE8E8E8"/>
      </bottom>
      <diagonal/>
    </border>
    <border>
      <left style="thin">
        <color rgb="FFE8E8E8"/>
      </left>
      <right style="thin">
        <color rgb="FFE8E8E8"/>
      </right>
      <top/>
      <bottom/>
      <diagonal/>
    </border>
    <border>
      <left/>
      <right/>
      <top/>
      <bottom style="medium">
        <color rgb="FFD8D8D8"/>
      </bottom>
      <diagonal/>
    </border>
    <border>
      <left style="thin">
        <color rgb="FFE8E8E8"/>
      </left>
      <right/>
      <top style="thin">
        <color rgb="FFE8E8E8"/>
      </top>
      <bottom/>
      <diagonal/>
    </border>
    <border>
      <left/>
      <right/>
      <top style="thin">
        <color rgb="FFE8E8E8"/>
      </top>
      <bottom/>
      <diagonal/>
    </border>
    <border>
      <left/>
      <right style="thin">
        <color rgb="FFE8E8E8"/>
      </right>
      <top style="thin">
        <color rgb="FFE8E8E8"/>
      </top>
      <bottom/>
      <diagonal/>
    </border>
    <border>
      <left style="thin">
        <color rgb="FFE8E8E8"/>
      </left>
      <right/>
      <top/>
      <bottom/>
      <diagonal/>
    </border>
    <border>
      <left/>
      <right style="thin">
        <color rgb="FFE8E8E8"/>
      </right>
      <top/>
      <bottom/>
      <diagonal/>
    </border>
    <border>
      <left style="thin">
        <color rgb="FFE8E8E8"/>
      </left>
      <right/>
      <top/>
      <bottom style="thin">
        <color rgb="FFE8E8E8"/>
      </bottom>
      <diagonal/>
    </border>
    <border>
      <left/>
      <right/>
      <top/>
      <bottom style="thin">
        <color rgb="FFE8E8E8"/>
      </bottom>
      <diagonal/>
    </border>
    <border>
      <left/>
      <right style="thin">
        <color rgb="FFE8E8E8"/>
      </right>
      <top/>
      <bottom style="thin">
        <color rgb="FFE8E8E8"/>
      </bottom>
      <diagonal/>
    </border>
    <border>
      <left/>
      <right/>
      <top/>
      <bottom style="hair">
        <color rgb="FF000000"/>
      </bottom>
      <diagonal/>
    </border>
    <border>
      <left style="thin">
        <color theme="2"/>
      </left>
      <right style="thin">
        <color theme="2"/>
      </right>
      <top style="thin">
        <color theme="2"/>
      </top>
      <bottom style="thin">
        <color theme="2"/>
      </bottom>
      <diagonal/>
    </border>
    <border>
      <left/>
      <right/>
      <top style="thin">
        <color rgb="FFE8E8E8"/>
      </top>
      <bottom style="medium">
        <color rgb="FFD8D8D8"/>
      </bottom>
      <diagonal/>
    </border>
    <border>
      <left/>
      <right/>
      <top/>
      <bottom style="medium">
        <color theme="0" tint="-0.14999847407452621"/>
      </bottom>
      <diagonal/>
    </border>
    <border>
      <left style="thin">
        <color indexed="64"/>
      </left>
      <right style="thin">
        <color indexed="64"/>
      </right>
      <top style="thin">
        <color indexed="64"/>
      </top>
      <bottom style="thin">
        <color indexed="64"/>
      </bottom>
      <diagonal/>
    </border>
    <border>
      <left style="thin">
        <color rgb="FFE8E8E8"/>
      </left>
      <right/>
      <top style="thin">
        <color rgb="FFE8E8E8"/>
      </top>
      <bottom style="thin">
        <color rgb="FFE8E8E8"/>
      </bottom>
      <diagonal/>
    </border>
    <border>
      <left/>
      <right/>
      <top style="thin">
        <color rgb="FFE8E8E8"/>
      </top>
      <bottom style="thin">
        <color rgb="FFE8E8E8"/>
      </bottom>
      <diagonal/>
    </border>
    <border>
      <left/>
      <right style="thin">
        <color rgb="FFE8E8E8"/>
      </right>
      <top style="thin">
        <color rgb="FFE8E8E8"/>
      </top>
      <bottom style="thin">
        <color rgb="FFE8E8E8"/>
      </bottom>
      <diagonal/>
    </border>
    <border>
      <left style="medium">
        <color theme="0"/>
      </left>
      <right/>
      <top style="medium">
        <color theme="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D8D8D8"/>
      </top>
      <bottom/>
      <diagonal/>
    </border>
  </borders>
  <cellStyleXfs count="9">
    <xf numFmtId="0" fontId="0" fillId="0" borderId="0"/>
    <xf numFmtId="0" fontId="31" fillId="0" borderId="0" applyNumberForma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56" fillId="0" borderId="1"/>
    <xf numFmtId="43" fontId="1" fillId="0" borderId="1" applyFont="0" applyFill="0" applyBorder="0" applyAlignment="0" applyProtection="0"/>
    <xf numFmtId="9" fontId="1" fillId="0" borderId="1" applyFont="0" applyFill="0" applyBorder="0" applyAlignment="0" applyProtection="0"/>
    <xf numFmtId="43" fontId="57" fillId="0" borderId="1" applyFont="0" applyFill="0" applyBorder="0" applyAlignment="0" applyProtection="0"/>
  </cellStyleXfs>
  <cellXfs count="788">
    <xf numFmtId="0" fontId="0" fillId="0" borderId="0" xfId="0"/>
    <xf numFmtId="0" fontId="4" fillId="0" borderId="0" xfId="0" applyFont="1"/>
    <xf numFmtId="0" fontId="5" fillId="0" borderId="0" xfId="0" applyFont="1" applyAlignment="1">
      <alignment wrapText="1"/>
    </xf>
    <xf numFmtId="0" fontId="6" fillId="0" borderId="0" xfId="0" applyFont="1" applyAlignment="1">
      <alignment wrapText="1"/>
    </xf>
    <xf numFmtId="0" fontId="9" fillId="0" borderId="0" xfId="0" applyFont="1" applyAlignment="1">
      <alignment vertical="top"/>
    </xf>
    <xf numFmtId="164" fontId="9" fillId="0" borderId="0" xfId="0" applyNumberFormat="1" applyFont="1" applyAlignment="1">
      <alignment vertical="top"/>
    </xf>
    <xf numFmtId="0" fontId="10" fillId="0" borderId="0" xfId="0" applyFont="1" applyAlignment="1">
      <alignment vertical="top"/>
    </xf>
    <xf numFmtId="0" fontId="14" fillId="0" borderId="0" xfId="0" applyFont="1" applyAlignment="1">
      <alignment vertical="top"/>
    </xf>
    <xf numFmtId="0" fontId="9" fillId="0" borderId="0" xfId="0" applyFont="1" applyAlignment="1">
      <alignment vertical="top" wrapText="1"/>
    </xf>
    <xf numFmtId="0" fontId="9" fillId="0" borderId="2" xfId="0" applyFont="1" applyBorder="1" applyAlignment="1">
      <alignment vertical="top"/>
    </xf>
    <xf numFmtId="0" fontId="9" fillId="0" borderId="2" xfId="0" applyFont="1" applyBorder="1" applyAlignment="1">
      <alignment vertical="top" wrapText="1"/>
    </xf>
    <xf numFmtId="164" fontId="9" fillId="3" borderId="2" xfId="0" applyNumberFormat="1" applyFont="1" applyFill="1" applyBorder="1" applyAlignment="1">
      <alignment vertical="top"/>
    </xf>
    <xf numFmtId="164" fontId="9" fillId="0" borderId="2" xfId="0" applyNumberFormat="1" applyFont="1" applyBorder="1" applyAlignment="1">
      <alignment vertical="top"/>
    </xf>
    <xf numFmtId="0" fontId="15" fillId="0" borderId="2" xfId="0" applyFont="1" applyBorder="1" applyAlignment="1">
      <alignment vertical="top"/>
    </xf>
    <xf numFmtId="0" fontId="15" fillId="0" borderId="2" xfId="0" applyFont="1" applyBorder="1" applyAlignment="1">
      <alignment vertical="top" wrapText="1"/>
    </xf>
    <xf numFmtId="0" fontId="14" fillId="0" borderId="2" xfId="0" applyFont="1" applyBorder="1" applyAlignment="1">
      <alignment vertical="top" wrapText="1"/>
    </xf>
    <xf numFmtId="164" fontId="15" fillId="4" borderId="2" xfId="0" applyNumberFormat="1" applyFont="1" applyFill="1" applyBorder="1" applyAlignment="1">
      <alignment vertical="top"/>
    </xf>
    <xf numFmtId="164" fontId="15" fillId="0" borderId="2" xfId="0" applyNumberFormat="1" applyFont="1" applyBorder="1" applyAlignment="1">
      <alignment vertical="top"/>
    </xf>
    <xf numFmtId="164" fontId="15" fillId="3" borderId="2" xfId="0" applyNumberFormat="1" applyFont="1" applyFill="1" applyBorder="1" applyAlignment="1">
      <alignment vertical="top"/>
    </xf>
    <xf numFmtId="0" fontId="15" fillId="0" borderId="0" xfId="0" applyFont="1" applyAlignment="1">
      <alignment vertical="top"/>
    </xf>
    <xf numFmtId="9" fontId="9" fillId="0" borderId="2" xfId="0" applyNumberFormat="1" applyFont="1" applyBorder="1" applyAlignment="1">
      <alignment vertical="top" wrapText="1"/>
    </xf>
    <xf numFmtId="165" fontId="9" fillId="3" borderId="2" xfId="0" applyNumberFormat="1" applyFont="1" applyFill="1" applyBorder="1" applyAlignment="1">
      <alignment vertical="top"/>
    </xf>
    <xf numFmtId="9" fontId="9" fillId="0" borderId="2" xfId="0" applyNumberFormat="1" applyFont="1" applyBorder="1" applyAlignment="1">
      <alignment vertical="top"/>
    </xf>
    <xf numFmtId="0" fontId="16" fillId="0" borderId="0" xfId="0" applyFont="1" applyAlignment="1">
      <alignment vertical="top"/>
    </xf>
    <xf numFmtId="43" fontId="9" fillId="0" borderId="0" xfId="0" applyNumberFormat="1" applyFont="1" applyAlignment="1">
      <alignment vertical="top"/>
    </xf>
    <xf numFmtId="9" fontId="9" fillId="0" borderId="0" xfId="0" applyNumberFormat="1" applyFont="1" applyAlignment="1">
      <alignment vertical="top"/>
    </xf>
    <xf numFmtId="9" fontId="9" fillId="3" borderId="2" xfId="0" applyNumberFormat="1" applyFont="1" applyFill="1" applyBorder="1" applyAlignment="1">
      <alignment vertical="top"/>
    </xf>
    <xf numFmtId="37" fontId="9" fillId="0" borderId="2" xfId="0" applyNumberFormat="1" applyFont="1" applyBorder="1" applyAlignment="1">
      <alignment horizontal="right" vertical="top" wrapText="1"/>
    </xf>
    <xf numFmtId="37" fontId="9" fillId="3" borderId="2" xfId="0" applyNumberFormat="1" applyFont="1" applyFill="1" applyBorder="1" applyAlignment="1">
      <alignment horizontal="right" vertical="top"/>
    </xf>
    <xf numFmtId="37" fontId="9" fillId="0" borderId="2" xfId="0" applyNumberFormat="1" applyFont="1" applyBorder="1" applyAlignment="1">
      <alignment horizontal="right" vertical="top"/>
    </xf>
    <xf numFmtId="0" fontId="14" fillId="0" borderId="2" xfId="0" applyFont="1" applyBorder="1" applyAlignment="1">
      <alignment vertical="top"/>
    </xf>
    <xf numFmtId="164" fontId="14" fillId="0" borderId="2" xfId="0" applyNumberFormat="1" applyFont="1" applyBorder="1" applyAlignment="1">
      <alignment vertical="top"/>
    </xf>
    <xf numFmtId="164" fontId="14" fillId="3" borderId="2" xfId="0" applyNumberFormat="1" applyFont="1" applyFill="1" applyBorder="1" applyAlignment="1">
      <alignment vertical="top"/>
    </xf>
    <xf numFmtId="164" fontId="9" fillId="0" borderId="2" xfId="0" applyNumberFormat="1" applyFont="1" applyBorder="1" applyAlignment="1">
      <alignment horizontal="right" vertical="top"/>
    </xf>
    <xf numFmtId="37" fontId="9" fillId="3" borderId="2" xfId="0" applyNumberFormat="1" applyFont="1" applyFill="1" applyBorder="1" applyAlignment="1">
      <alignment vertical="top"/>
    </xf>
    <xf numFmtId="37" fontId="9" fillId="0" borderId="2" xfId="0" applyNumberFormat="1" applyFont="1" applyBorder="1" applyAlignment="1">
      <alignment vertical="top"/>
    </xf>
    <xf numFmtId="164" fontId="9" fillId="5" borderId="2" xfId="0" applyNumberFormat="1" applyFont="1" applyFill="1" applyBorder="1" applyAlignment="1">
      <alignment vertical="top"/>
    </xf>
    <xf numFmtId="164" fontId="15" fillId="5" borderId="2" xfId="0" applyNumberFormat="1" applyFont="1" applyFill="1" applyBorder="1" applyAlignment="1">
      <alignment vertical="top"/>
    </xf>
    <xf numFmtId="164" fontId="9" fillId="0" borderId="2" xfId="0" applyNumberFormat="1" applyFont="1" applyBorder="1" applyAlignment="1">
      <alignment vertical="top" wrapText="1"/>
    </xf>
    <xf numFmtId="164" fontId="9" fillId="6" borderId="2" xfId="0" applyNumberFormat="1" applyFont="1" applyFill="1" applyBorder="1" applyAlignment="1">
      <alignment vertical="top"/>
    </xf>
    <xf numFmtId="164" fontId="18" fillId="0" borderId="2" xfId="0" applyNumberFormat="1" applyFont="1" applyBorder="1" applyAlignment="1">
      <alignment vertical="top"/>
    </xf>
    <xf numFmtId="164" fontId="18" fillId="3" borderId="2" xfId="0" applyNumberFormat="1" applyFont="1" applyFill="1" applyBorder="1" applyAlignment="1">
      <alignment vertical="top"/>
    </xf>
    <xf numFmtId="0" fontId="19" fillId="0" borderId="2" xfId="0" applyFont="1" applyBorder="1" applyAlignment="1">
      <alignment horizontal="center" vertical="top" wrapText="1"/>
    </xf>
    <xf numFmtId="9" fontId="15" fillId="0" borderId="2" xfId="0" applyNumberFormat="1" applyFont="1" applyBorder="1" applyAlignment="1">
      <alignment vertical="top" wrapText="1"/>
    </xf>
    <xf numFmtId="165" fontId="15" fillId="3" borderId="2" xfId="0" applyNumberFormat="1" applyFont="1" applyFill="1" applyBorder="1" applyAlignment="1">
      <alignment vertical="top"/>
    </xf>
    <xf numFmtId="9" fontId="15" fillId="0" borderId="2" xfId="0" applyNumberFormat="1" applyFont="1" applyBorder="1" applyAlignment="1">
      <alignment vertical="top"/>
    </xf>
    <xf numFmtId="165" fontId="15" fillId="0" borderId="2" xfId="0" applyNumberFormat="1" applyFont="1" applyBorder="1" applyAlignment="1">
      <alignment vertical="top"/>
    </xf>
    <xf numFmtId="9" fontId="15" fillId="3" borderId="2" xfId="0" applyNumberFormat="1" applyFont="1" applyFill="1" applyBorder="1" applyAlignment="1">
      <alignment vertical="top"/>
    </xf>
    <xf numFmtId="165" fontId="9" fillId="0" borderId="2" xfId="0" applyNumberFormat="1" applyFont="1" applyBorder="1" applyAlignment="1">
      <alignment horizontal="left" vertical="top"/>
    </xf>
    <xf numFmtId="165" fontId="20" fillId="0" borderId="2" xfId="0" applyNumberFormat="1" applyFont="1" applyBorder="1" applyAlignment="1">
      <alignment horizontal="left" vertical="top"/>
    </xf>
    <xf numFmtId="164" fontId="21" fillId="0" borderId="2" xfId="0" applyNumberFormat="1" applyFont="1" applyBorder="1" applyAlignment="1">
      <alignment horizontal="right" vertical="top"/>
    </xf>
    <xf numFmtId="164" fontId="15" fillId="0" borderId="2" xfId="0" applyNumberFormat="1" applyFont="1" applyBorder="1" applyAlignment="1">
      <alignment horizontal="center" vertical="top"/>
    </xf>
    <xf numFmtId="164" fontId="9" fillId="8" borderId="2" xfId="0" applyNumberFormat="1" applyFont="1" applyFill="1" applyBorder="1" applyAlignment="1">
      <alignment vertical="top"/>
    </xf>
    <xf numFmtId="0" fontId="16" fillId="0" borderId="2" xfId="0" applyFont="1" applyBorder="1" applyAlignment="1">
      <alignment vertical="top"/>
    </xf>
    <xf numFmtId="164" fontId="15" fillId="0" borderId="2" xfId="0" applyNumberFormat="1" applyFont="1" applyBorder="1" applyAlignment="1">
      <alignment horizontal="right" vertical="top"/>
    </xf>
    <xf numFmtId="3" fontId="9" fillId="0" borderId="2" xfId="0" applyNumberFormat="1" applyFont="1" applyBorder="1" applyAlignment="1">
      <alignment vertical="top"/>
    </xf>
    <xf numFmtId="165" fontId="18" fillId="0" borderId="2" xfId="0" applyNumberFormat="1" applyFont="1" applyBorder="1" applyAlignment="1">
      <alignment horizontal="left" vertical="top"/>
    </xf>
    <xf numFmtId="164" fontId="15" fillId="0" borderId="0" xfId="0" applyNumberFormat="1" applyFont="1" applyAlignment="1">
      <alignment vertical="top"/>
    </xf>
    <xf numFmtId="164" fontId="9" fillId="0" borderId="0" xfId="0" applyNumberFormat="1" applyFont="1" applyAlignment="1">
      <alignment horizontal="right" vertical="top"/>
    </xf>
    <xf numFmtId="0" fontId="9" fillId="0" borderId="0" xfId="0" applyFont="1" applyAlignment="1">
      <alignment horizontal="right" vertical="top"/>
    </xf>
    <xf numFmtId="164" fontId="9" fillId="3" borderId="2" xfId="0" applyNumberFormat="1" applyFont="1" applyFill="1" applyBorder="1" applyAlignment="1">
      <alignment horizontal="center" vertical="top"/>
    </xf>
    <xf numFmtId="37" fontId="15" fillId="0" borderId="2" xfId="0" applyNumberFormat="1" applyFont="1" applyBorder="1" applyAlignment="1">
      <alignment vertical="top"/>
    </xf>
    <xf numFmtId="1" fontId="9" fillId="0" borderId="2" xfId="0" applyNumberFormat="1" applyFont="1" applyBorder="1" applyAlignment="1">
      <alignment vertical="top" wrapText="1"/>
    </xf>
    <xf numFmtId="9" fontId="15" fillId="0" borderId="2" xfId="0" applyNumberFormat="1" applyFont="1" applyBorder="1" applyAlignment="1">
      <alignment horizontal="center" vertical="top"/>
    </xf>
    <xf numFmtId="166" fontId="9" fillId="0" borderId="2" xfId="0" applyNumberFormat="1" applyFont="1" applyBorder="1" applyAlignment="1">
      <alignment vertical="top" wrapText="1"/>
    </xf>
    <xf numFmtId="167" fontId="9" fillId="3" borderId="2" xfId="0" applyNumberFormat="1" applyFont="1" applyFill="1" applyBorder="1" applyAlignment="1">
      <alignment vertical="top"/>
    </xf>
    <xf numFmtId="167" fontId="9" fillId="0" borderId="2" xfId="0" applyNumberFormat="1" applyFont="1" applyBorder="1" applyAlignment="1">
      <alignment vertical="top"/>
    </xf>
    <xf numFmtId="37" fontId="9" fillId="0" borderId="2" xfId="0" applyNumberFormat="1" applyFont="1" applyBorder="1" applyAlignment="1">
      <alignment vertical="top" wrapText="1"/>
    </xf>
    <xf numFmtId="1" fontId="9" fillId="3" borderId="2" xfId="0" applyNumberFormat="1" applyFont="1" applyFill="1" applyBorder="1" applyAlignment="1">
      <alignment vertical="top"/>
    </xf>
    <xf numFmtId="1" fontId="9" fillId="0" borderId="2" xfId="0" applyNumberFormat="1" applyFont="1" applyBorder="1" applyAlignment="1">
      <alignment vertical="top"/>
    </xf>
    <xf numFmtId="0" fontId="9" fillId="0" borderId="2" xfId="0" applyFont="1" applyBorder="1" applyAlignment="1">
      <alignment horizontal="right" vertical="top"/>
    </xf>
    <xf numFmtId="0" fontId="21" fillId="0" borderId="2" xfId="0" applyFont="1" applyBorder="1" applyAlignment="1">
      <alignment vertical="top"/>
    </xf>
    <xf numFmtId="43" fontId="15" fillId="0" borderId="2" xfId="0" applyNumberFormat="1" applyFont="1" applyBorder="1" applyAlignment="1">
      <alignment vertical="top"/>
    </xf>
    <xf numFmtId="37" fontId="15" fillId="3" borderId="2" xfId="0" applyNumberFormat="1" applyFont="1" applyFill="1" applyBorder="1" applyAlignment="1">
      <alignment vertical="top"/>
    </xf>
    <xf numFmtId="43" fontId="9" fillId="0" borderId="2" xfId="0" applyNumberFormat="1" applyFont="1" applyBorder="1" applyAlignment="1">
      <alignment vertical="top"/>
    </xf>
    <xf numFmtId="0" fontId="9" fillId="0" borderId="15" xfId="0" applyFont="1" applyBorder="1" applyAlignment="1">
      <alignment vertical="top"/>
    </xf>
    <xf numFmtId="3" fontId="9" fillId="3" borderId="2" xfId="0" applyNumberFormat="1" applyFont="1" applyFill="1" applyBorder="1" applyAlignment="1">
      <alignment vertical="top"/>
    </xf>
    <xf numFmtId="3" fontId="9" fillId="0" borderId="2" xfId="0" applyNumberFormat="1" applyFont="1" applyBorder="1" applyAlignment="1">
      <alignment horizontal="right" vertical="top"/>
    </xf>
    <xf numFmtId="2" fontId="15" fillId="0" borderId="2" xfId="0" applyNumberFormat="1" applyFont="1" applyBorder="1" applyAlignment="1">
      <alignment vertical="top"/>
    </xf>
    <xf numFmtId="43" fontId="15" fillId="3" borderId="2" xfId="0" applyNumberFormat="1" applyFont="1" applyFill="1" applyBorder="1" applyAlignment="1">
      <alignment vertical="top"/>
    </xf>
    <xf numFmtId="2" fontId="9" fillId="0" borderId="2" xfId="0" applyNumberFormat="1" applyFont="1" applyBorder="1" applyAlignment="1">
      <alignment vertical="top"/>
    </xf>
    <xf numFmtId="43" fontId="9" fillId="3" borderId="2" xfId="0" applyNumberFormat="1" applyFont="1" applyFill="1" applyBorder="1" applyAlignment="1">
      <alignment vertical="top"/>
    </xf>
    <xf numFmtId="3" fontId="9" fillId="0" borderId="2" xfId="0" applyNumberFormat="1" applyFont="1" applyBorder="1" applyAlignment="1">
      <alignment vertical="top" wrapText="1"/>
    </xf>
    <xf numFmtId="164" fontId="10" fillId="0" borderId="0" xfId="0" applyNumberFormat="1" applyFont="1" applyAlignment="1">
      <alignment vertical="top"/>
    </xf>
    <xf numFmtId="167" fontId="9" fillId="0" borderId="0" xfId="0" applyNumberFormat="1" applyFont="1" applyAlignment="1">
      <alignment vertical="top"/>
    </xf>
    <xf numFmtId="167" fontId="9" fillId="0" borderId="2" xfId="0" applyNumberFormat="1" applyFont="1" applyBorder="1" applyAlignment="1">
      <alignment vertical="top" wrapText="1"/>
    </xf>
    <xf numFmtId="167" fontId="18" fillId="0" borderId="2" xfId="0" applyNumberFormat="1" applyFont="1" applyBorder="1" applyAlignment="1">
      <alignment vertical="top"/>
    </xf>
    <xf numFmtId="167" fontId="20" fillId="0" borderId="2" xfId="0" applyNumberFormat="1" applyFont="1" applyBorder="1" applyAlignment="1">
      <alignment vertical="top"/>
    </xf>
    <xf numFmtId="167" fontId="15" fillId="0" borderId="2" xfId="0" applyNumberFormat="1" applyFont="1" applyBorder="1" applyAlignment="1">
      <alignment vertical="top"/>
    </xf>
    <xf numFmtId="167" fontId="15" fillId="3" borderId="2" xfId="0" applyNumberFormat="1" applyFont="1" applyFill="1" applyBorder="1" applyAlignment="1">
      <alignment vertical="top"/>
    </xf>
    <xf numFmtId="167" fontId="9" fillId="5" borderId="2" xfId="0" applyNumberFormat="1" applyFont="1" applyFill="1" applyBorder="1" applyAlignment="1">
      <alignment vertical="top"/>
    </xf>
    <xf numFmtId="9" fontId="9" fillId="3" borderId="2" xfId="0" applyNumberFormat="1" applyFont="1" applyFill="1" applyBorder="1" applyAlignment="1">
      <alignment horizontal="right" vertical="top"/>
    </xf>
    <xf numFmtId="9" fontId="9" fillId="0" borderId="2" xfId="0" applyNumberFormat="1" applyFont="1" applyBorder="1" applyAlignment="1">
      <alignment horizontal="right" vertical="top"/>
    </xf>
    <xf numFmtId="164" fontId="9" fillId="3" borderId="2" xfId="0" applyNumberFormat="1" applyFont="1" applyFill="1" applyBorder="1" applyAlignment="1">
      <alignment horizontal="right" vertical="top"/>
    </xf>
    <xf numFmtId="3" fontId="15" fillId="3" borderId="2" xfId="0" applyNumberFormat="1" applyFont="1" applyFill="1" applyBorder="1" applyAlignment="1">
      <alignment vertical="top"/>
    </xf>
    <xf numFmtId="3" fontId="15" fillId="0" borderId="2" xfId="0" applyNumberFormat="1" applyFont="1" applyBorder="1" applyAlignment="1">
      <alignment vertical="top" wrapText="1"/>
    </xf>
    <xf numFmtId="3" fontId="15" fillId="0" borderId="2" xfId="0" applyNumberFormat="1" applyFont="1" applyBorder="1" applyAlignment="1">
      <alignment vertical="top"/>
    </xf>
    <xf numFmtId="0" fontId="15" fillId="0" borderId="0" xfId="0" applyFont="1" applyAlignment="1">
      <alignment vertical="top" wrapText="1"/>
    </xf>
    <xf numFmtId="3" fontId="9" fillId="0" borderId="0" xfId="0" applyNumberFormat="1" applyFont="1" applyAlignment="1">
      <alignment vertical="top" wrapText="1"/>
    </xf>
    <xf numFmtId="37" fontId="9" fillId="5" borderId="2" xfId="0" applyNumberFormat="1" applyFont="1" applyFill="1" applyBorder="1" applyAlignment="1">
      <alignment vertical="top" wrapText="1"/>
    </xf>
    <xf numFmtId="3" fontId="14" fillId="3" borderId="2" xfId="0" applyNumberFormat="1" applyFont="1" applyFill="1" applyBorder="1" applyAlignment="1">
      <alignment vertical="top"/>
    </xf>
    <xf numFmtId="43" fontId="9" fillId="0" borderId="2" xfId="0" applyNumberFormat="1" applyFont="1" applyBorder="1" applyAlignment="1">
      <alignment horizontal="right" vertical="top"/>
    </xf>
    <xf numFmtId="168" fontId="9" fillId="0" borderId="2" xfId="0" applyNumberFormat="1" applyFont="1" applyBorder="1" applyAlignment="1">
      <alignment vertical="top"/>
    </xf>
    <xf numFmtId="164" fontId="9" fillId="5" borderId="6" xfId="0" applyNumberFormat="1" applyFont="1" applyFill="1" applyBorder="1" applyAlignment="1">
      <alignment vertical="top" wrapText="1"/>
    </xf>
    <xf numFmtId="168" fontId="9" fillId="5" borderId="2" xfId="0" applyNumberFormat="1" applyFont="1" applyFill="1" applyBorder="1" applyAlignment="1">
      <alignment vertical="top" wrapText="1"/>
    </xf>
    <xf numFmtId="168" fontId="9" fillId="0" borderId="2" xfId="0" applyNumberFormat="1" applyFont="1" applyBorder="1" applyAlignment="1">
      <alignment horizontal="right" vertical="top"/>
    </xf>
    <xf numFmtId="37" fontId="9" fillId="0" borderId="2" xfId="0" applyNumberFormat="1" applyFont="1" applyBorder="1" applyAlignment="1">
      <alignment horizontal="center" vertical="top"/>
    </xf>
    <xf numFmtId="37" fontId="15" fillId="5" borderId="2" xfId="0" applyNumberFormat="1" applyFont="1" applyFill="1" applyBorder="1" applyAlignment="1">
      <alignment vertical="top" wrapText="1"/>
    </xf>
    <xf numFmtId="37" fontId="15" fillId="0" borderId="2" xfId="0" applyNumberFormat="1" applyFont="1" applyBorder="1" applyAlignment="1">
      <alignment vertical="top" wrapText="1"/>
    </xf>
    <xf numFmtId="0" fontId="9" fillId="5" borderId="2" xfId="0" applyFont="1" applyFill="1" applyBorder="1" applyAlignment="1">
      <alignment vertical="top" wrapText="1"/>
    </xf>
    <xf numFmtId="164" fontId="9" fillId="0" borderId="2" xfId="0" applyNumberFormat="1" applyFont="1" applyBorder="1" applyAlignment="1">
      <alignment horizontal="center" vertical="center"/>
    </xf>
    <xf numFmtId="164" fontId="9" fillId="0" borderId="2" xfId="0" applyNumberFormat="1" applyFont="1" applyBorder="1" applyAlignment="1">
      <alignment horizontal="center" vertical="top"/>
    </xf>
    <xf numFmtId="39" fontId="9" fillId="0" borderId="2" xfId="0" applyNumberFormat="1" applyFont="1" applyBorder="1" applyAlignment="1">
      <alignment horizontal="right" vertical="top" wrapText="1"/>
    </xf>
    <xf numFmtId="39" fontId="9" fillId="0" borderId="2" xfId="0" applyNumberFormat="1" applyFont="1" applyBorder="1" applyAlignment="1">
      <alignment vertical="top" wrapText="1"/>
    </xf>
    <xf numFmtId="43" fontId="9" fillId="5" borderId="2" xfId="0" applyNumberFormat="1" applyFont="1" applyFill="1" applyBorder="1" applyAlignment="1">
      <alignment vertical="top" wrapText="1"/>
    </xf>
    <xf numFmtId="3" fontId="14" fillId="0" borderId="2" xfId="0" applyNumberFormat="1" applyFont="1" applyBorder="1" applyAlignment="1">
      <alignment vertical="top"/>
    </xf>
    <xf numFmtId="173" fontId="9" fillId="3" borderId="2" xfId="0" applyNumberFormat="1" applyFont="1" applyFill="1" applyBorder="1" applyAlignment="1">
      <alignment vertical="top"/>
    </xf>
    <xf numFmtId="173" fontId="9" fillId="0" borderId="2" xfId="0" applyNumberFormat="1" applyFont="1" applyBorder="1" applyAlignment="1">
      <alignment vertical="top"/>
    </xf>
    <xf numFmtId="173" fontId="5" fillId="0" borderId="2" xfId="0" applyNumberFormat="1" applyFont="1" applyBorder="1" applyAlignment="1">
      <alignment horizontal="right" vertical="top"/>
    </xf>
    <xf numFmtId="4" fontId="9" fillId="0" borderId="2" xfId="0" applyNumberFormat="1" applyFont="1" applyBorder="1" applyAlignment="1">
      <alignment vertical="top"/>
    </xf>
    <xf numFmtId="4" fontId="9" fillId="3" borderId="2" xfId="0" applyNumberFormat="1" applyFont="1" applyFill="1" applyBorder="1" applyAlignment="1">
      <alignment vertical="top"/>
    </xf>
    <xf numFmtId="4" fontId="5" fillId="0" borderId="2" xfId="0" applyNumberFormat="1" applyFont="1" applyBorder="1" applyAlignment="1">
      <alignment horizontal="right" vertical="top"/>
    </xf>
    <xf numFmtId="168" fontId="9" fillId="0" borderId="0" xfId="0" applyNumberFormat="1" applyFont="1" applyAlignment="1">
      <alignment vertical="top"/>
    </xf>
    <xf numFmtId="3" fontId="5" fillId="0" borderId="2" xfId="0" applyNumberFormat="1" applyFont="1" applyBorder="1" applyAlignment="1">
      <alignment horizontal="right" vertical="top"/>
    </xf>
    <xf numFmtId="3" fontId="23" fillId="0" borderId="2" xfId="0" applyNumberFormat="1" applyFont="1" applyBorder="1" applyAlignment="1">
      <alignment horizontal="right" vertical="top"/>
    </xf>
    <xf numFmtId="174" fontId="9" fillId="0" borderId="2" xfId="0" applyNumberFormat="1" applyFont="1" applyBorder="1" applyAlignment="1">
      <alignment vertical="top" wrapText="1"/>
    </xf>
    <xf numFmtId="167" fontId="9" fillId="0" borderId="2" xfId="0" applyNumberFormat="1" applyFont="1" applyBorder="1" applyAlignment="1">
      <alignment horizontal="right" vertical="top"/>
    </xf>
    <xf numFmtId="174" fontId="15" fillId="0" borderId="2" xfId="0" applyNumberFormat="1" applyFont="1" applyBorder="1" applyAlignment="1">
      <alignment vertical="top" wrapText="1"/>
    </xf>
    <xf numFmtId="172" fontId="9" fillId="0" borderId="2" xfId="0" applyNumberFormat="1" applyFont="1" applyBorder="1" applyAlignment="1">
      <alignment vertical="top" wrapText="1"/>
    </xf>
    <xf numFmtId="172" fontId="9" fillId="3" borderId="2" xfId="0" applyNumberFormat="1" applyFont="1" applyFill="1" applyBorder="1" applyAlignment="1">
      <alignment vertical="top"/>
    </xf>
    <xf numFmtId="172" fontId="9" fillId="0" borderId="2" xfId="0" applyNumberFormat="1" applyFont="1" applyBorder="1" applyAlignment="1">
      <alignment vertical="top"/>
    </xf>
    <xf numFmtId="49" fontId="9" fillId="0" borderId="0" xfId="0" applyNumberFormat="1" applyFont="1" applyAlignment="1">
      <alignment vertical="top"/>
    </xf>
    <xf numFmtId="49" fontId="15" fillId="0" borderId="0" xfId="0" applyNumberFormat="1" applyFont="1" applyAlignment="1">
      <alignment vertical="top"/>
    </xf>
    <xf numFmtId="0" fontId="9" fillId="11" borderId="2" xfId="0" applyFont="1" applyFill="1" applyBorder="1" applyAlignment="1">
      <alignment vertical="top" wrapText="1"/>
    </xf>
    <xf numFmtId="0" fontId="15" fillId="11" borderId="2" xfId="0" applyFont="1" applyFill="1" applyBorder="1" applyAlignment="1">
      <alignment vertical="top" wrapText="1"/>
    </xf>
    <xf numFmtId="0" fontId="9" fillId="0" borderId="2" xfId="0" applyFont="1" applyBorder="1" applyAlignment="1">
      <alignment horizontal="center" vertical="top" wrapText="1"/>
    </xf>
    <xf numFmtId="0" fontId="9" fillId="13" borderId="2" xfId="0" applyFont="1" applyFill="1" applyBorder="1" applyAlignment="1">
      <alignment vertical="top" wrapText="1"/>
    </xf>
    <xf numFmtId="0" fontId="15" fillId="13" borderId="2" xfId="0" applyFont="1" applyFill="1" applyBorder="1" applyAlignment="1">
      <alignment vertical="top" wrapText="1"/>
    </xf>
    <xf numFmtId="0" fontId="9" fillId="13" borderId="6" xfId="0" applyFont="1" applyFill="1" applyBorder="1" applyAlignment="1">
      <alignment vertical="top" wrapText="1"/>
    </xf>
    <xf numFmtId="9" fontId="9" fillId="13" borderId="2" xfId="0" applyNumberFormat="1" applyFont="1" applyFill="1" applyBorder="1" applyAlignment="1">
      <alignment vertical="top" wrapText="1"/>
    </xf>
    <xf numFmtId="164" fontId="15" fillId="11" borderId="2" xfId="0" applyNumberFormat="1" applyFont="1" applyFill="1" applyBorder="1" applyAlignment="1">
      <alignment vertical="top"/>
    </xf>
    <xf numFmtId="9" fontId="9" fillId="11" borderId="2" xfId="0" applyNumberFormat="1" applyFont="1" applyFill="1" applyBorder="1" applyAlignment="1">
      <alignment vertical="top" wrapText="1"/>
    </xf>
    <xf numFmtId="0" fontId="18" fillId="13" borderId="2" xfId="0" applyFont="1" applyFill="1" applyBorder="1" applyAlignment="1">
      <alignment horizontal="center" vertical="top" wrapText="1"/>
    </xf>
    <xf numFmtId="164" fontId="15" fillId="13" borderId="2" xfId="0" applyNumberFormat="1" applyFont="1" applyFill="1" applyBorder="1" applyAlignment="1">
      <alignment vertical="top"/>
    </xf>
    <xf numFmtId="164" fontId="9" fillId="11" borderId="2" xfId="0" applyNumberFormat="1" applyFont="1" applyFill="1" applyBorder="1" applyAlignment="1">
      <alignment vertical="top"/>
    </xf>
    <xf numFmtId="9" fontId="15" fillId="11" borderId="2" xfId="0" applyNumberFormat="1" applyFont="1" applyFill="1" applyBorder="1" applyAlignment="1">
      <alignment vertical="top" wrapText="1"/>
    </xf>
    <xf numFmtId="164" fontId="14" fillId="13" borderId="2" xfId="0" applyNumberFormat="1" applyFont="1" applyFill="1" applyBorder="1" applyAlignment="1">
      <alignment vertical="top"/>
    </xf>
    <xf numFmtId="164" fontId="14" fillId="11" borderId="2" xfId="0" applyNumberFormat="1" applyFont="1" applyFill="1" applyBorder="1" applyAlignment="1">
      <alignment vertical="top"/>
    </xf>
    <xf numFmtId="165" fontId="15" fillId="0" borderId="0" xfId="0" applyNumberFormat="1" applyFont="1" applyAlignment="1">
      <alignment vertical="top"/>
    </xf>
    <xf numFmtId="165" fontId="9" fillId="5" borderId="2" xfId="0" applyNumberFormat="1" applyFont="1" applyFill="1" applyBorder="1" applyAlignment="1">
      <alignment horizontal="left" vertical="top"/>
    </xf>
    <xf numFmtId="1" fontId="9" fillId="0" borderId="2" xfId="0" applyNumberFormat="1" applyFont="1" applyBorder="1" applyAlignment="1">
      <alignment horizontal="left" vertical="top"/>
    </xf>
    <xf numFmtId="165" fontId="18" fillId="5" borderId="2" xfId="0" applyNumberFormat="1" applyFont="1" applyFill="1" applyBorder="1" applyAlignment="1">
      <alignment horizontal="left" vertical="top"/>
    </xf>
    <xf numFmtId="1" fontId="20" fillId="0" borderId="2" xfId="0" applyNumberFormat="1" applyFont="1" applyBorder="1" applyAlignment="1">
      <alignment horizontal="left" vertical="top"/>
    </xf>
    <xf numFmtId="49" fontId="14" fillId="0" borderId="0" xfId="0" applyNumberFormat="1" applyFont="1" applyAlignment="1">
      <alignment vertical="top"/>
    </xf>
    <xf numFmtId="164" fontId="14" fillId="0" borderId="2" xfId="0" applyNumberFormat="1" applyFont="1" applyBorder="1" applyAlignment="1">
      <alignment horizontal="right" vertical="top"/>
    </xf>
    <xf numFmtId="165" fontId="9" fillId="0" borderId="2" xfId="0" applyNumberFormat="1" applyFont="1" applyBorder="1" applyAlignment="1">
      <alignment horizontal="left" vertical="top" wrapText="1"/>
    </xf>
    <xf numFmtId="9" fontId="9" fillId="0" borderId="2" xfId="0" applyNumberFormat="1" applyFont="1" applyBorder="1" applyAlignment="1">
      <alignment horizontal="left" vertical="top"/>
    </xf>
    <xf numFmtId="2" fontId="20" fillId="0" borderId="2" xfId="0" applyNumberFormat="1" applyFont="1" applyBorder="1" applyAlignment="1">
      <alignment horizontal="left" vertical="top"/>
    </xf>
    <xf numFmtId="165" fontId="25" fillId="0" borderId="2" xfId="0" applyNumberFormat="1" applyFont="1" applyBorder="1" applyAlignment="1">
      <alignment horizontal="left" vertical="top" wrapText="1"/>
    </xf>
    <xf numFmtId="9" fontId="25" fillId="0" borderId="2" xfId="0" applyNumberFormat="1" applyFont="1" applyBorder="1" applyAlignment="1">
      <alignment horizontal="left" vertical="top"/>
    </xf>
    <xf numFmtId="1" fontId="25" fillId="0" borderId="2" xfId="0" applyNumberFormat="1" applyFont="1" applyBorder="1" applyAlignment="1">
      <alignment horizontal="left" vertical="top"/>
    </xf>
    <xf numFmtId="2" fontId="9" fillId="14" borderId="2" xfId="0" applyNumberFormat="1" applyFont="1" applyFill="1" applyBorder="1" applyAlignment="1">
      <alignment horizontal="left" vertical="top"/>
    </xf>
    <xf numFmtId="2" fontId="9" fillId="13" borderId="2" xfId="0" applyNumberFormat="1" applyFont="1" applyFill="1" applyBorder="1" applyAlignment="1">
      <alignment horizontal="left" vertical="top"/>
    </xf>
    <xf numFmtId="164" fontId="9" fillId="13" borderId="2" xfId="0" applyNumberFormat="1" applyFont="1" applyFill="1" applyBorder="1" applyAlignment="1">
      <alignment vertical="top"/>
    </xf>
    <xf numFmtId="2" fontId="15" fillId="14" borderId="2" xfId="0" applyNumberFormat="1" applyFont="1" applyFill="1" applyBorder="1" applyAlignment="1">
      <alignment horizontal="left" vertical="top"/>
    </xf>
    <xf numFmtId="2" fontId="15" fillId="13" borderId="2" xfId="0" applyNumberFormat="1" applyFont="1" applyFill="1" applyBorder="1" applyAlignment="1">
      <alignment horizontal="left" vertical="top"/>
    </xf>
    <xf numFmtId="175" fontId="9" fillId="0" borderId="2" xfId="0" applyNumberFormat="1" applyFont="1" applyBorder="1" applyAlignment="1">
      <alignment vertical="top" wrapText="1"/>
    </xf>
    <xf numFmtId="0" fontId="21" fillId="0" borderId="2" xfId="0" applyFont="1" applyBorder="1" applyAlignment="1">
      <alignment vertical="top" wrapText="1"/>
    </xf>
    <xf numFmtId="0" fontId="32" fillId="0" borderId="0" xfId="0" applyFont="1" applyAlignment="1">
      <alignment vertical="top"/>
    </xf>
    <xf numFmtId="0" fontId="33" fillId="0" borderId="0" xfId="0" applyFont="1" applyAlignment="1">
      <alignment vertical="top" wrapText="1"/>
    </xf>
    <xf numFmtId="0" fontId="33" fillId="0" borderId="0" xfId="0" applyFont="1" applyAlignment="1">
      <alignment vertical="top"/>
    </xf>
    <xf numFmtId="9" fontId="33" fillId="0" borderId="0" xfId="0" applyNumberFormat="1" applyFont="1" applyAlignment="1">
      <alignment vertical="top"/>
    </xf>
    <xf numFmtId="0" fontId="34" fillId="0" borderId="0" xfId="0" applyFont="1"/>
    <xf numFmtId="0" fontId="33" fillId="0" borderId="2" xfId="0" applyFont="1" applyBorder="1" applyAlignment="1">
      <alignment vertical="top"/>
    </xf>
    <xf numFmtId="0" fontId="33" fillId="0" borderId="2" xfId="0" applyFont="1" applyBorder="1" applyAlignment="1">
      <alignment vertical="top" wrapText="1"/>
    </xf>
    <xf numFmtId="0" fontId="35" fillId="0" borderId="0" xfId="0" applyFont="1" applyAlignment="1">
      <alignment vertical="top"/>
    </xf>
    <xf numFmtId="0" fontId="35" fillId="0" borderId="15" xfId="0" applyFont="1" applyBorder="1" applyAlignment="1">
      <alignment vertical="top"/>
    </xf>
    <xf numFmtId="167" fontId="33" fillId="0" borderId="2" xfId="0" applyNumberFormat="1" applyFont="1" applyBorder="1" applyAlignment="1">
      <alignment vertical="top" wrapText="1"/>
    </xf>
    <xf numFmtId="167" fontId="33" fillId="3" borderId="2" xfId="0" applyNumberFormat="1" applyFont="1" applyFill="1" applyBorder="1" applyAlignment="1">
      <alignment vertical="top"/>
    </xf>
    <xf numFmtId="167" fontId="33" fillId="0" borderId="2" xfId="0" applyNumberFormat="1" applyFont="1" applyBorder="1" applyAlignment="1">
      <alignment vertical="top"/>
    </xf>
    <xf numFmtId="167" fontId="36" fillId="0" borderId="2" xfId="0" applyNumberFormat="1" applyFont="1" applyBorder="1" applyAlignment="1">
      <alignment vertical="top"/>
    </xf>
    <xf numFmtId="167" fontId="36" fillId="3" borderId="2" xfId="0" applyNumberFormat="1" applyFont="1" applyFill="1" applyBorder="1" applyAlignment="1">
      <alignment vertical="top"/>
    </xf>
    <xf numFmtId="0" fontId="36" fillId="0" borderId="2" xfId="0" applyFont="1" applyBorder="1" applyAlignment="1">
      <alignment vertical="top"/>
    </xf>
    <xf numFmtId="0" fontId="36" fillId="0" borderId="2" xfId="0" applyFont="1" applyBorder="1" applyAlignment="1">
      <alignment vertical="top" wrapText="1"/>
    </xf>
    <xf numFmtId="164" fontId="33" fillId="0" borderId="0" xfId="0" applyNumberFormat="1" applyFont="1" applyAlignment="1">
      <alignment vertical="top"/>
    </xf>
    <xf numFmtId="37" fontId="33" fillId="3" borderId="2" xfId="0" applyNumberFormat="1" applyFont="1" applyFill="1" applyBorder="1" applyAlignment="1">
      <alignment vertical="top"/>
    </xf>
    <xf numFmtId="0" fontId="38" fillId="0" borderId="2" xfId="0" applyFont="1" applyBorder="1" applyAlignment="1">
      <alignment vertical="top"/>
    </xf>
    <xf numFmtId="3" fontId="36" fillId="0" borderId="2" xfId="0" applyNumberFormat="1" applyFont="1" applyBorder="1" applyAlignment="1">
      <alignment vertical="top" wrapText="1"/>
    </xf>
    <xf numFmtId="3" fontId="36" fillId="3" borderId="2" xfId="0" applyNumberFormat="1" applyFont="1" applyFill="1" applyBorder="1" applyAlignment="1">
      <alignment vertical="top"/>
    </xf>
    <xf numFmtId="0" fontId="36" fillId="0" borderId="0" xfId="0" applyFont="1" applyAlignment="1">
      <alignment vertical="top"/>
    </xf>
    <xf numFmtId="10" fontId="33" fillId="0" borderId="0" xfId="0" applyNumberFormat="1" applyFont="1" applyAlignment="1">
      <alignment vertical="top" wrapText="1"/>
    </xf>
    <xf numFmtId="9" fontId="33" fillId="3" borderId="2" xfId="0" applyNumberFormat="1" applyFont="1" applyFill="1" applyBorder="1" applyAlignment="1">
      <alignment vertical="top"/>
    </xf>
    <xf numFmtId="9" fontId="33" fillId="0" borderId="2" xfId="0" applyNumberFormat="1" applyFont="1" applyBorder="1" applyAlignment="1">
      <alignment vertical="top"/>
    </xf>
    <xf numFmtId="167" fontId="9" fillId="0" borderId="2" xfId="3" applyNumberFormat="1" applyFont="1" applyBorder="1" applyAlignment="1">
      <alignment vertical="top" wrapText="1"/>
    </xf>
    <xf numFmtId="167" fontId="9" fillId="3" borderId="2" xfId="3" applyNumberFormat="1" applyFont="1" applyFill="1" applyBorder="1" applyAlignment="1">
      <alignment vertical="top"/>
    </xf>
    <xf numFmtId="167" fontId="9" fillId="0" borderId="2" xfId="3" applyNumberFormat="1" applyFont="1" applyBorder="1" applyAlignment="1">
      <alignment vertical="top"/>
    </xf>
    <xf numFmtId="167" fontId="9" fillId="0" borderId="2" xfId="3" applyNumberFormat="1" applyFont="1" applyBorder="1" applyAlignment="1">
      <alignment horizontal="center" vertical="top"/>
    </xf>
    <xf numFmtId="167" fontId="15" fillId="0" borderId="2" xfId="3" applyNumberFormat="1" applyFont="1" applyBorder="1" applyAlignment="1">
      <alignment vertical="top" wrapText="1"/>
    </xf>
    <xf numFmtId="167" fontId="15" fillId="3" borderId="2" xfId="3" applyNumberFormat="1" applyFont="1" applyFill="1" applyBorder="1" applyAlignment="1">
      <alignment vertical="top"/>
    </xf>
    <xf numFmtId="167" fontId="15" fillId="0" borderId="2" xfId="3" applyNumberFormat="1" applyFont="1" applyBorder="1" applyAlignment="1">
      <alignment vertical="top"/>
    </xf>
    <xf numFmtId="3" fontId="33" fillId="3" borderId="2" xfId="0" applyNumberFormat="1" applyFont="1" applyFill="1" applyBorder="1" applyAlignment="1">
      <alignment vertical="top"/>
    </xf>
    <xf numFmtId="4" fontId="33" fillId="3" borderId="2" xfId="0" applyNumberFormat="1" applyFont="1" applyFill="1" applyBorder="1" applyAlignment="1">
      <alignment vertical="top"/>
    </xf>
    <xf numFmtId="167" fontId="33" fillId="0" borderId="0" xfId="0" applyNumberFormat="1" applyFont="1" applyAlignment="1">
      <alignment vertical="top"/>
    </xf>
    <xf numFmtId="0" fontId="33" fillId="0" borderId="2" xfId="0" applyFont="1" applyBorder="1" applyAlignment="1">
      <alignment horizontal="left" vertical="top" wrapText="1"/>
    </xf>
    <xf numFmtId="167" fontId="33" fillId="10" borderId="2" xfId="0" applyNumberFormat="1" applyFont="1" applyFill="1" applyBorder="1" applyAlignment="1">
      <alignment vertical="top"/>
    </xf>
    <xf numFmtId="167" fontId="32" fillId="0" borderId="0" xfId="0" applyNumberFormat="1" applyFont="1" applyAlignment="1">
      <alignment vertical="top"/>
    </xf>
    <xf numFmtId="176" fontId="33" fillId="0" borderId="0" xfId="0" applyNumberFormat="1" applyFont="1" applyAlignment="1">
      <alignment horizontal="right" vertical="top" wrapText="1"/>
    </xf>
    <xf numFmtId="0" fontId="33" fillId="0" borderId="2" xfId="0" applyFont="1" applyBorder="1" applyAlignment="1">
      <alignment horizontal="right" vertical="top"/>
    </xf>
    <xf numFmtId="0" fontId="33" fillId="3" borderId="2" xfId="0" applyFont="1" applyFill="1" applyBorder="1" applyAlignment="1">
      <alignment vertical="top"/>
    </xf>
    <xf numFmtId="1" fontId="33" fillId="0" borderId="2" xfId="0" applyNumberFormat="1" applyFont="1" applyBorder="1" applyAlignment="1">
      <alignment vertical="top"/>
    </xf>
    <xf numFmtId="1" fontId="35" fillId="0" borderId="2" xfId="0" applyNumberFormat="1" applyFont="1" applyBorder="1" applyAlignment="1">
      <alignment vertical="top"/>
    </xf>
    <xf numFmtId="1" fontId="33" fillId="0" borderId="2" xfId="0" applyNumberFormat="1" applyFont="1" applyBorder="1" applyAlignment="1">
      <alignment horizontal="center" vertical="top"/>
    </xf>
    <xf numFmtId="1" fontId="33" fillId="3" borderId="2" xfId="0" applyNumberFormat="1" applyFont="1" applyFill="1" applyBorder="1" applyAlignment="1">
      <alignment vertical="top"/>
    </xf>
    <xf numFmtId="167" fontId="33" fillId="0" borderId="2" xfId="0" applyNumberFormat="1" applyFont="1" applyBorder="1" applyAlignment="1">
      <alignment horizontal="center" vertical="top"/>
    </xf>
    <xf numFmtId="0" fontId="32" fillId="0" borderId="2" xfId="0" applyFont="1" applyBorder="1" applyAlignment="1">
      <alignment vertical="top"/>
    </xf>
    <xf numFmtId="176" fontId="33" fillId="0" borderId="0" xfId="0" applyNumberFormat="1" applyFont="1" applyAlignment="1">
      <alignment vertical="top" wrapText="1"/>
    </xf>
    <xf numFmtId="176" fontId="33" fillId="0" borderId="0" xfId="0" applyNumberFormat="1" applyFont="1" applyAlignment="1">
      <alignment vertical="center" wrapText="1"/>
    </xf>
    <xf numFmtId="44" fontId="33" fillId="0" borderId="0" xfId="0" applyNumberFormat="1" applyFont="1" applyAlignment="1">
      <alignment vertical="top"/>
    </xf>
    <xf numFmtId="167" fontId="38" fillId="3" borderId="2" xfId="0" applyNumberFormat="1" applyFont="1" applyFill="1" applyBorder="1" applyAlignment="1">
      <alignment vertical="top"/>
    </xf>
    <xf numFmtId="0" fontId="40" fillId="0" borderId="0" xfId="0" applyFont="1"/>
    <xf numFmtId="0" fontId="30" fillId="0" borderId="0" xfId="0" applyFont="1" applyAlignment="1">
      <alignment vertical="top"/>
    </xf>
    <xf numFmtId="0" fontId="42" fillId="0" borderId="0" xfId="0" applyFont="1" applyAlignment="1">
      <alignment vertical="top"/>
    </xf>
    <xf numFmtId="0" fontId="30" fillId="0" borderId="0" xfId="0" applyFont="1" applyAlignment="1">
      <alignment vertical="top" wrapText="1"/>
    </xf>
    <xf numFmtId="0" fontId="30" fillId="15" borderId="16" xfId="0" applyFont="1" applyFill="1" applyBorder="1" applyAlignment="1">
      <alignment vertical="top" wrapText="1"/>
    </xf>
    <xf numFmtId="9" fontId="30" fillId="15" borderId="16" xfId="0" applyNumberFormat="1" applyFont="1" applyFill="1" applyBorder="1" applyAlignment="1">
      <alignment vertical="top" wrapText="1"/>
    </xf>
    <xf numFmtId="9" fontId="9" fillId="0" borderId="2" xfId="4" applyFont="1" applyBorder="1" applyAlignment="1">
      <alignment vertical="top"/>
    </xf>
    <xf numFmtId="9" fontId="9" fillId="3" borderId="2" xfId="4" applyFont="1" applyFill="1" applyBorder="1" applyAlignment="1">
      <alignment vertical="top"/>
    </xf>
    <xf numFmtId="43" fontId="9" fillId="0" borderId="2" xfId="0" applyNumberFormat="1" applyFont="1" applyBorder="1" applyAlignment="1">
      <alignment horizontal="left" vertical="top" indent="2"/>
    </xf>
    <xf numFmtId="9" fontId="9" fillId="0" borderId="2" xfId="4" applyFont="1" applyBorder="1" applyAlignment="1">
      <alignment vertical="top" wrapText="1"/>
    </xf>
    <xf numFmtId="9" fontId="15" fillId="0" borderId="2" xfId="4" applyFont="1" applyBorder="1" applyAlignment="1">
      <alignment vertical="top" wrapText="1"/>
    </xf>
    <xf numFmtId="9" fontId="15" fillId="3" borderId="2" xfId="4" applyFont="1" applyFill="1" applyBorder="1" applyAlignment="1">
      <alignment vertical="top"/>
    </xf>
    <xf numFmtId="0" fontId="0" fillId="0" borderId="0" xfId="0" applyAlignment="1">
      <alignment horizontal="center"/>
    </xf>
    <xf numFmtId="164" fontId="15" fillId="0" borderId="2" xfId="0" applyNumberFormat="1" applyFont="1" applyBorder="1" applyAlignment="1">
      <alignment vertical="top" wrapText="1"/>
    </xf>
    <xf numFmtId="0" fontId="14" fillId="0" borderId="0" xfId="0" applyFont="1" applyAlignment="1">
      <alignment horizontal="center" vertical="top"/>
    </xf>
    <xf numFmtId="0" fontId="40" fillId="0" borderId="0" xfId="0" applyFont="1" applyAlignment="1">
      <alignment horizontal="center"/>
    </xf>
    <xf numFmtId="0" fontId="30" fillId="0" borderId="0" xfId="0" applyFont="1"/>
    <xf numFmtId="0" fontId="43" fillId="0" borderId="0" xfId="0" applyFont="1"/>
    <xf numFmtId="0" fontId="30" fillId="0" borderId="18" xfId="0" applyFont="1" applyBorder="1" applyAlignment="1">
      <alignment vertical="top" wrapText="1"/>
    </xf>
    <xf numFmtId="164" fontId="9" fillId="0" borderId="1" xfId="0" applyNumberFormat="1" applyFont="1" applyBorder="1" applyAlignment="1">
      <alignment horizontal="right" vertical="top"/>
    </xf>
    <xf numFmtId="164" fontId="30" fillId="0" borderId="0" xfId="2" applyNumberFormat="1" applyFont="1" applyProtection="1"/>
    <xf numFmtId="0" fontId="45" fillId="0" borderId="0" xfId="0" applyFont="1"/>
    <xf numFmtId="0" fontId="42" fillId="0" borderId="0" xfId="0" applyFont="1"/>
    <xf numFmtId="37" fontId="9" fillId="3" borderId="2" xfId="2" applyNumberFormat="1" applyFont="1" applyFill="1" applyBorder="1" applyAlignment="1">
      <alignment vertical="top"/>
    </xf>
    <xf numFmtId="37" fontId="9" fillId="0" borderId="2" xfId="2" applyNumberFormat="1" applyFont="1" applyBorder="1" applyAlignment="1">
      <alignment vertical="top"/>
    </xf>
    <xf numFmtId="37" fontId="9" fillId="0" borderId="2" xfId="2" applyNumberFormat="1" applyFont="1" applyBorder="1" applyAlignment="1">
      <alignment vertical="top" wrapText="1"/>
    </xf>
    <xf numFmtId="168" fontId="15" fillId="0" borderId="2" xfId="0" applyNumberFormat="1" applyFont="1" applyBorder="1" applyAlignment="1">
      <alignment vertical="top" wrapText="1"/>
    </xf>
    <xf numFmtId="168" fontId="15" fillId="3" borderId="2" xfId="0" applyNumberFormat="1" applyFont="1" applyFill="1" applyBorder="1" applyAlignment="1">
      <alignment vertical="top"/>
    </xf>
    <xf numFmtId="168" fontId="15" fillId="0" borderId="2" xfId="0" applyNumberFormat="1" applyFont="1" applyBorder="1" applyAlignment="1">
      <alignment vertical="top"/>
    </xf>
    <xf numFmtId="168" fontId="15" fillId="0" borderId="2" xfId="0" applyNumberFormat="1" applyFont="1" applyBorder="1" applyAlignment="1">
      <alignment horizontal="right" vertical="top"/>
    </xf>
    <xf numFmtId="10" fontId="15" fillId="0" borderId="2" xfId="0" applyNumberFormat="1" applyFont="1" applyBorder="1" applyAlignment="1">
      <alignment vertical="top"/>
    </xf>
    <xf numFmtId="169" fontId="15" fillId="5" borderId="2" xfId="0" applyNumberFormat="1" applyFont="1" applyFill="1" applyBorder="1" applyAlignment="1">
      <alignment vertical="top" wrapText="1"/>
    </xf>
    <xf numFmtId="169" fontId="15" fillId="3" borderId="2" xfId="0" applyNumberFormat="1" applyFont="1" applyFill="1" applyBorder="1" applyAlignment="1">
      <alignment vertical="top"/>
    </xf>
    <xf numFmtId="0" fontId="15" fillId="0" borderId="2" xfId="0" applyFont="1" applyBorder="1" applyAlignment="1">
      <alignment horizontal="right" vertical="top"/>
    </xf>
    <xf numFmtId="164" fontId="9" fillId="5" borderId="2" xfId="0" applyNumberFormat="1" applyFont="1" applyFill="1" applyBorder="1" applyAlignment="1">
      <alignment vertical="top" wrapText="1"/>
    </xf>
    <xf numFmtId="164" fontId="15" fillId="5" borderId="2" xfId="0" applyNumberFormat="1" applyFont="1" applyFill="1" applyBorder="1" applyAlignment="1">
      <alignment vertical="top" wrapText="1"/>
    </xf>
    <xf numFmtId="164" fontId="9" fillId="16" borderId="2" xfId="0" applyNumberFormat="1" applyFont="1" applyFill="1" applyBorder="1" applyAlignment="1">
      <alignment vertical="top"/>
    </xf>
    <xf numFmtId="0" fontId="30" fillId="0" borderId="2" xfId="0" applyFont="1" applyBorder="1" applyAlignment="1">
      <alignment vertical="top" wrapText="1"/>
    </xf>
    <xf numFmtId="164" fontId="33" fillId="0" borderId="0" xfId="2" applyNumberFormat="1" applyFont="1" applyAlignment="1">
      <alignment vertical="top" wrapText="1"/>
    </xf>
    <xf numFmtId="9" fontId="36" fillId="0" borderId="2" xfId="0" applyNumberFormat="1" applyFont="1" applyBorder="1" applyAlignment="1">
      <alignment vertical="top" wrapText="1"/>
    </xf>
    <xf numFmtId="43" fontId="51" fillId="0" borderId="2" xfId="0" applyNumberFormat="1" applyFont="1" applyBorder="1" applyAlignment="1">
      <alignment horizontal="right" vertical="top"/>
    </xf>
    <xf numFmtId="0" fontId="52" fillId="0" borderId="0" xfId="0" applyFont="1"/>
    <xf numFmtId="9" fontId="36" fillId="0" borderId="2" xfId="4" applyFont="1" applyBorder="1" applyAlignment="1">
      <alignment vertical="top" wrapText="1"/>
    </xf>
    <xf numFmtId="0" fontId="53" fillId="0" borderId="0" xfId="0" applyFont="1"/>
    <xf numFmtId="0" fontId="54" fillId="0" borderId="0" xfId="0" applyFont="1"/>
    <xf numFmtId="9" fontId="36" fillId="15" borderId="2" xfId="4" applyFont="1" applyFill="1" applyBorder="1" applyAlignment="1">
      <alignment vertical="top" wrapText="1"/>
    </xf>
    <xf numFmtId="37" fontId="33" fillId="0" borderId="2" xfId="0" applyNumberFormat="1" applyFont="1" applyBorder="1" applyAlignment="1">
      <alignment vertical="top" wrapText="1"/>
    </xf>
    <xf numFmtId="37" fontId="33" fillId="0" borderId="2" xfId="0" applyNumberFormat="1" applyFont="1" applyBorder="1" applyAlignment="1">
      <alignment vertical="top"/>
    </xf>
    <xf numFmtId="43" fontId="33" fillId="0" borderId="2" xfId="0" applyNumberFormat="1" applyFont="1" applyBorder="1" applyAlignment="1">
      <alignment vertical="top"/>
    </xf>
    <xf numFmtId="43" fontId="33" fillId="15" borderId="2" xfId="0" applyNumberFormat="1" applyFont="1" applyFill="1" applyBorder="1" applyAlignment="1">
      <alignment vertical="top"/>
    </xf>
    <xf numFmtId="3" fontId="33" fillId="0" borderId="3" xfId="0" applyNumberFormat="1" applyFont="1" applyBorder="1" applyAlignment="1">
      <alignment vertical="top"/>
    </xf>
    <xf numFmtId="37" fontId="38" fillId="0" borderId="2" xfId="0" applyNumberFormat="1" applyFont="1" applyBorder="1" applyAlignment="1">
      <alignment vertical="top"/>
    </xf>
    <xf numFmtId="37" fontId="38" fillId="3" borderId="2" xfId="0" applyNumberFormat="1" applyFont="1" applyFill="1" applyBorder="1" applyAlignment="1">
      <alignment vertical="top"/>
    </xf>
    <xf numFmtId="169" fontId="15" fillId="0" borderId="2" xfId="0" applyNumberFormat="1" applyFont="1" applyBorder="1" applyAlignment="1">
      <alignment vertical="top" wrapText="1"/>
    </xf>
    <xf numFmtId="169" fontId="14" fillId="0" borderId="2" xfId="0" applyNumberFormat="1" applyFont="1" applyBorder="1" applyAlignment="1">
      <alignment horizontal="right" vertical="top" wrapText="1"/>
    </xf>
    <xf numFmtId="169" fontId="14" fillId="3" borderId="2" xfId="0" applyNumberFormat="1" applyFont="1" applyFill="1" applyBorder="1" applyAlignment="1">
      <alignment vertical="top"/>
    </xf>
    <xf numFmtId="169" fontId="14" fillId="5" borderId="2" xfId="0" applyNumberFormat="1" applyFont="1" applyFill="1" applyBorder="1" applyAlignment="1">
      <alignment vertical="top" wrapText="1"/>
    </xf>
    <xf numFmtId="168" fontId="14" fillId="0" borderId="2" xfId="0" applyNumberFormat="1" applyFont="1" applyBorder="1" applyAlignment="1">
      <alignment vertical="top"/>
    </xf>
    <xf numFmtId="168" fontId="14" fillId="0" borderId="2" xfId="0" applyNumberFormat="1" applyFont="1" applyBorder="1" applyAlignment="1">
      <alignment horizontal="right" vertical="top"/>
    </xf>
    <xf numFmtId="168" fontId="14" fillId="3" borderId="2" xfId="0" applyNumberFormat="1" applyFont="1" applyFill="1" applyBorder="1" applyAlignment="1">
      <alignment vertical="top"/>
    </xf>
    <xf numFmtId="169" fontId="14" fillId="0" borderId="2" xfId="0" applyNumberFormat="1" applyFont="1" applyBorder="1" applyAlignment="1">
      <alignment vertical="top" wrapText="1"/>
    </xf>
    <xf numFmtId="9" fontId="9" fillId="15" borderId="2" xfId="0" applyNumberFormat="1" applyFont="1" applyFill="1" applyBorder="1" applyAlignment="1">
      <alignment vertical="top"/>
    </xf>
    <xf numFmtId="0" fontId="3" fillId="2" borderId="1" xfId="0" applyFont="1" applyFill="1" applyBorder="1" applyAlignment="1">
      <alignment horizontal="center" vertical="center" wrapText="1"/>
    </xf>
    <xf numFmtId="0" fontId="11"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38" fontId="13" fillId="2" borderId="1" xfId="0" applyNumberFormat="1" applyFont="1" applyFill="1" applyBorder="1" applyAlignment="1">
      <alignment horizontal="center" vertical="top" wrapText="1"/>
    </xf>
    <xf numFmtId="0" fontId="9" fillId="0" borderId="6" xfId="0" applyFont="1" applyBorder="1" applyAlignment="1">
      <alignment vertical="top"/>
    </xf>
    <xf numFmtId="0" fontId="9" fillId="0" borderId="6" xfId="0" applyFont="1" applyBorder="1" applyAlignment="1">
      <alignment vertical="top" wrapText="1"/>
    </xf>
    <xf numFmtId="0" fontId="13" fillId="2" borderId="1" xfId="0" applyFont="1" applyFill="1" applyBorder="1" applyAlignment="1">
      <alignment horizontal="center" vertical="top" wrapText="1"/>
    </xf>
    <xf numFmtId="9" fontId="9" fillId="0" borderId="6" xfId="0" applyNumberFormat="1" applyFont="1" applyBorder="1" applyAlignment="1">
      <alignment vertical="top"/>
    </xf>
    <xf numFmtId="164" fontId="13" fillId="2" borderId="1" xfId="0" applyNumberFormat="1" applyFont="1" applyFill="1" applyBorder="1" applyAlignment="1">
      <alignment horizontal="center" vertical="top" wrapText="1"/>
    </xf>
    <xf numFmtId="164" fontId="9" fillId="0" borderId="6" xfId="0" applyNumberFormat="1" applyFont="1" applyBorder="1" applyAlignment="1">
      <alignment vertical="top"/>
    </xf>
    <xf numFmtId="43" fontId="9" fillId="0" borderId="6" xfId="0" applyNumberFormat="1" applyFont="1" applyBorder="1" applyAlignment="1">
      <alignment vertical="top"/>
    </xf>
    <xf numFmtId="0" fontId="22" fillId="2" borderId="1" xfId="0" applyFont="1" applyFill="1" applyBorder="1" applyAlignment="1">
      <alignment horizontal="center" vertical="top" wrapText="1"/>
    </xf>
    <xf numFmtId="4" fontId="9" fillId="0" borderId="6" xfId="0" applyNumberFormat="1" applyFont="1" applyBorder="1" applyAlignment="1">
      <alignment vertical="top" wrapText="1"/>
    </xf>
    <xf numFmtId="9" fontId="9" fillId="0" borderId="6" xfId="0" applyNumberFormat="1" applyFont="1" applyBorder="1" applyAlignment="1">
      <alignment vertical="top" wrapText="1"/>
    </xf>
    <xf numFmtId="167" fontId="9" fillId="0" borderId="6" xfId="0" applyNumberFormat="1" applyFont="1" applyBorder="1" applyAlignment="1">
      <alignment vertical="top" wrapText="1"/>
    </xf>
    <xf numFmtId="44" fontId="9" fillId="0" borderId="6" xfId="0" applyNumberFormat="1" applyFont="1" applyBorder="1" applyAlignment="1">
      <alignment vertical="top" wrapText="1"/>
    </xf>
    <xf numFmtId="0" fontId="33" fillId="0" borderId="6" xfId="0" applyFont="1" applyBorder="1" applyAlignment="1">
      <alignment vertical="top" wrapText="1"/>
    </xf>
    <xf numFmtId="9" fontId="33" fillId="0" borderId="6" xfId="0" applyNumberFormat="1" applyFont="1" applyBorder="1" applyAlignment="1">
      <alignment vertical="top" wrapText="1"/>
    </xf>
    <xf numFmtId="43" fontId="9" fillId="0" borderId="6" xfId="0" applyNumberFormat="1" applyFont="1" applyBorder="1" applyAlignment="1">
      <alignment vertical="top" wrapText="1"/>
    </xf>
    <xf numFmtId="0" fontId="11" fillId="9" borderId="1" xfId="0" applyFont="1" applyFill="1" applyBorder="1" applyAlignment="1">
      <alignment horizontal="left" vertical="top"/>
    </xf>
    <xf numFmtId="0" fontId="41" fillId="2" borderId="1" xfId="0" applyFont="1" applyFill="1" applyBorder="1" applyAlignment="1">
      <alignment horizontal="left" vertical="top" wrapText="1"/>
    </xf>
    <xf numFmtId="164" fontId="9" fillId="0" borderId="6" xfId="0" applyNumberFormat="1" applyFont="1" applyBorder="1" applyAlignment="1">
      <alignment vertical="top" wrapText="1"/>
    </xf>
    <xf numFmtId="37" fontId="9" fillId="0" borderId="6" xfId="0" applyNumberFormat="1" applyFont="1" applyBorder="1" applyAlignment="1">
      <alignment vertical="top"/>
    </xf>
    <xf numFmtId="171" fontId="9" fillId="0" borderId="6" xfId="0" applyNumberFormat="1" applyFont="1" applyBorder="1" applyAlignment="1">
      <alignment vertical="top"/>
    </xf>
    <xf numFmtId="164" fontId="9" fillId="5" borderId="1" xfId="0" applyNumberFormat="1" applyFont="1" applyFill="1" applyBorder="1" applyAlignment="1">
      <alignment vertical="top" wrapText="1"/>
    </xf>
    <xf numFmtId="0" fontId="9" fillId="0" borderId="6" xfId="0" applyFont="1" applyBorder="1" applyAlignment="1">
      <alignment horizontal="right" vertical="top" wrapText="1"/>
    </xf>
    <xf numFmtId="0" fontId="24" fillId="2" borderId="1" xfId="0" applyFont="1" applyFill="1" applyBorder="1" applyAlignment="1">
      <alignment vertical="top" wrapText="1"/>
    </xf>
    <xf numFmtId="0" fontId="24" fillId="2" borderId="1" xfId="0" applyFont="1" applyFill="1" applyBorder="1" applyAlignment="1">
      <alignment horizontal="left" vertical="top" wrapText="1"/>
    </xf>
    <xf numFmtId="49" fontId="9" fillId="12" borderId="1" xfId="0" applyNumberFormat="1" applyFont="1" applyFill="1" applyBorder="1" applyAlignment="1">
      <alignment vertical="top"/>
    </xf>
    <xf numFmtId="0" fontId="9" fillId="13" borderId="1" xfId="0" applyFont="1" applyFill="1" applyBorder="1" applyAlignment="1">
      <alignment vertical="top" wrapText="1"/>
    </xf>
    <xf numFmtId="0" fontId="9" fillId="12" borderId="1" xfId="0" applyFont="1" applyFill="1" applyBorder="1" applyAlignment="1">
      <alignment vertical="top"/>
    </xf>
    <xf numFmtId="49" fontId="21" fillId="12" borderId="1" xfId="0" applyNumberFormat="1" applyFont="1" applyFill="1" applyBorder="1" applyAlignment="1">
      <alignment vertical="top"/>
    </xf>
    <xf numFmtId="9" fontId="9" fillId="0" borderId="6" xfId="0" applyNumberFormat="1" applyFont="1" applyBorder="1" applyAlignment="1">
      <alignment horizontal="right" vertical="top"/>
    </xf>
    <xf numFmtId="0" fontId="33" fillId="0" borderId="6" xfId="0" applyFont="1" applyBorder="1" applyAlignment="1">
      <alignment vertical="top"/>
    </xf>
    <xf numFmtId="176" fontId="33" fillId="0" borderId="6" xfId="0" applyNumberFormat="1" applyFont="1" applyBorder="1" applyAlignment="1">
      <alignment horizontal="right" vertical="top" wrapText="1"/>
    </xf>
    <xf numFmtId="167" fontId="33" fillId="0" borderId="6" xfId="0" applyNumberFormat="1" applyFont="1" applyBorder="1" applyAlignment="1">
      <alignment vertical="top"/>
    </xf>
    <xf numFmtId="9" fontId="33" fillId="0" borderId="6" xfId="0" applyNumberFormat="1" applyFont="1" applyBorder="1" applyAlignment="1">
      <alignment vertical="top"/>
    </xf>
    <xf numFmtId="43" fontId="33" fillId="0" borderId="6" xfId="0" applyNumberFormat="1" applyFont="1" applyBorder="1" applyAlignment="1">
      <alignment vertical="top"/>
    </xf>
    <xf numFmtId="176" fontId="33" fillId="0" borderId="6" xfId="0" applyNumberFormat="1" applyFont="1" applyBorder="1" applyAlignment="1">
      <alignment vertical="top" wrapText="1"/>
    </xf>
    <xf numFmtId="176" fontId="33" fillId="0" borderId="6" xfId="0" applyNumberFormat="1" applyFont="1" applyBorder="1" applyAlignment="1">
      <alignment vertical="center" wrapText="1"/>
    </xf>
    <xf numFmtId="0" fontId="13" fillId="2" borderId="19" xfId="0" applyFont="1" applyFill="1" applyBorder="1" applyAlignment="1">
      <alignment horizontal="center" vertical="top" wrapText="1"/>
    </xf>
    <xf numFmtId="38" fontId="13" fillId="2" borderId="19" xfId="0" applyNumberFormat="1" applyFont="1" applyFill="1" applyBorder="1" applyAlignment="1">
      <alignment horizontal="center" vertical="top" wrapText="1"/>
    </xf>
    <xf numFmtId="168" fontId="9" fillId="0" borderId="3" xfId="0" applyNumberFormat="1" applyFont="1" applyBorder="1" applyAlignment="1">
      <alignment vertical="top"/>
    </xf>
    <xf numFmtId="3" fontId="30" fillId="15" borderId="16" xfId="0" applyNumberFormat="1" applyFont="1" applyFill="1" applyBorder="1" applyAlignment="1">
      <alignment vertical="top" wrapText="1"/>
    </xf>
    <xf numFmtId="39" fontId="15" fillId="0" borderId="2" xfId="0" applyNumberFormat="1" applyFont="1" applyBorder="1" applyAlignment="1">
      <alignment vertical="top"/>
    </xf>
    <xf numFmtId="178" fontId="9" fillId="0" borderId="2" xfId="0" applyNumberFormat="1" applyFont="1" applyBorder="1" applyAlignment="1">
      <alignment vertical="top" wrapText="1"/>
    </xf>
    <xf numFmtId="0" fontId="9" fillId="18" borderId="2" xfId="0" applyFont="1" applyFill="1" applyBorder="1" applyAlignment="1">
      <alignment vertical="top" wrapText="1"/>
    </xf>
    <xf numFmtId="0" fontId="46" fillId="0" borderId="5" xfId="0" applyFont="1" applyBorder="1"/>
    <xf numFmtId="43" fontId="15" fillId="15" borderId="2" xfId="0" applyNumberFormat="1" applyFont="1" applyFill="1" applyBorder="1" applyAlignment="1">
      <alignment vertical="top"/>
    </xf>
    <xf numFmtId="168" fontId="15" fillId="15" borderId="2" xfId="0" applyNumberFormat="1" applyFont="1" applyFill="1" applyBorder="1" applyAlignment="1">
      <alignment vertical="top"/>
    </xf>
    <xf numFmtId="9" fontId="9" fillId="0" borderId="0" xfId="4" applyFont="1" applyAlignment="1">
      <alignment vertical="top"/>
    </xf>
    <xf numFmtId="39" fontId="15" fillId="3" borderId="2" xfId="0" applyNumberFormat="1" applyFont="1" applyFill="1" applyBorder="1" applyAlignment="1">
      <alignment vertical="top"/>
    </xf>
    <xf numFmtId="179" fontId="0" fillId="0" borderId="0" xfId="2" applyNumberFormat="1" applyFont="1"/>
    <xf numFmtId="179" fontId="30" fillId="0" borderId="0" xfId="2" applyNumberFormat="1" applyFont="1"/>
    <xf numFmtId="0" fontId="14" fillId="0" borderId="1" xfId="0" applyFont="1" applyBorder="1" applyAlignment="1">
      <alignment vertical="top"/>
    </xf>
    <xf numFmtId="0" fontId="14" fillId="0" borderId="1" xfId="0" applyFont="1" applyBorder="1" applyAlignment="1">
      <alignment vertical="top" wrapText="1"/>
    </xf>
    <xf numFmtId="0" fontId="55" fillId="0" borderId="0" xfId="0" applyFont="1"/>
    <xf numFmtId="3" fontId="33" fillId="0" borderId="0" xfId="0" applyNumberFormat="1" applyFont="1" applyAlignment="1">
      <alignment vertical="top" wrapText="1"/>
    </xf>
    <xf numFmtId="164" fontId="9" fillId="0" borderId="2" xfId="2" applyNumberFormat="1" applyFont="1" applyBorder="1" applyAlignment="1">
      <alignment vertical="top" wrapText="1"/>
    </xf>
    <xf numFmtId="167" fontId="0" fillId="0" borderId="0" xfId="0" applyNumberFormat="1"/>
    <xf numFmtId="167" fontId="33" fillId="0" borderId="6" xfId="0" applyNumberFormat="1" applyFont="1" applyBorder="1" applyAlignment="1">
      <alignment vertical="top" wrapText="1"/>
    </xf>
    <xf numFmtId="3" fontId="9" fillId="18" borderId="2" xfId="0" applyNumberFormat="1" applyFont="1" applyFill="1" applyBorder="1" applyAlignment="1">
      <alignment vertical="top"/>
    </xf>
    <xf numFmtId="0" fontId="15" fillId="0" borderId="2" xfId="0" applyFont="1" applyBorder="1" applyAlignment="1">
      <alignment horizontal="right" vertical="top" wrapText="1"/>
    </xf>
    <xf numFmtId="0" fontId="19" fillId="0" borderId="2" xfId="0" applyFont="1" applyBorder="1" applyAlignment="1">
      <alignment horizontal="right" vertical="top" wrapText="1"/>
    </xf>
    <xf numFmtId="181" fontId="33" fillId="0" borderId="2" xfId="0" applyNumberFormat="1" applyFont="1" applyBorder="1" applyAlignment="1">
      <alignment vertical="top"/>
    </xf>
    <xf numFmtId="164" fontId="9" fillId="0" borderId="2" xfId="0" applyNumberFormat="1" applyFont="1" applyBorder="1" applyAlignment="1">
      <alignment horizontal="right" vertical="top" wrapText="1"/>
    </xf>
    <xf numFmtId="43" fontId="33" fillId="0" borderId="6" xfId="2" applyFont="1" applyBorder="1" applyAlignment="1">
      <alignment vertical="top"/>
    </xf>
    <xf numFmtId="9" fontId="33" fillId="0" borderId="6" xfId="4" applyFont="1" applyBorder="1" applyAlignment="1">
      <alignment vertical="top" wrapText="1"/>
    </xf>
    <xf numFmtId="167" fontId="0" fillId="0" borderId="0" xfId="3" applyNumberFormat="1" applyFont="1"/>
    <xf numFmtId="43" fontId="33" fillId="0" borderId="6" xfId="2" applyFont="1" applyBorder="1" applyAlignment="1">
      <alignment vertical="top" wrapText="1"/>
    </xf>
    <xf numFmtId="9" fontId="9" fillId="0" borderId="2" xfId="0" applyNumberFormat="1" applyFont="1" applyBorder="1" applyAlignment="1">
      <alignment horizontal="right" vertical="top" wrapText="1"/>
    </xf>
    <xf numFmtId="164" fontId="9" fillId="3" borderId="2" xfId="2" applyNumberFormat="1" applyFont="1" applyFill="1" applyBorder="1" applyAlignment="1">
      <alignment vertical="top"/>
    </xf>
    <xf numFmtId="167" fontId="33" fillId="3" borderId="2" xfId="3" applyNumberFormat="1" applyFont="1" applyFill="1" applyBorder="1" applyAlignment="1">
      <alignment vertical="top"/>
    </xf>
    <xf numFmtId="0" fontId="58" fillId="0" borderId="0" xfId="0" applyFont="1"/>
    <xf numFmtId="39" fontId="33" fillId="3" borderId="2" xfId="0" applyNumberFormat="1" applyFont="1" applyFill="1" applyBorder="1" applyAlignment="1">
      <alignment vertical="top"/>
    </xf>
    <xf numFmtId="0" fontId="9" fillId="0" borderId="1" xfId="0" applyFont="1" applyBorder="1" applyAlignment="1">
      <alignment vertical="top"/>
    </xf>
    <xf numFmtId="0" fontId="9" fillId="0" borderId="1" xfId="0" applyFont="1" applyBorder="1" applyAlignment="1">
      <alignment vertical="top" wrapText="1"/>
    </xf>
    <xf numFmtId="9" fontId="9" fillId="0" borderId="1" xfId="0" applyNumberFormat="1" applyFont="1" applyBorder="1" applyAlignment="1">
      <alignment vertical="top"/>
    </xf>
    <xf numFmtId="3" fontId="14" fillId="15" borderId="2" xfId="0" applyNumberFormat="1" applyFont="1" applyFill="1" applyBorder="1" applyAlignment="1">
      <alignment vertical="top"/>
    </xf>
    <xf numFmtId="37" fontId="33" fillId="15" borderId="2" xfId="0" applyNumberFormat="1" applyFont="1" applyFill="1" applyBorder="1" applyAlignment="1">
      <alignment vertical="top"/>
    </xf>
    <xf numFmtId="9" fontId="20" fillId="15" borderId="2" xfId="0" applyNumberFormat="1" applyFont="1" applyFill="1" applyBorder="1" applyAlignment="1">
      <alignment vertical="top" wrapText="1"/>
    </xf>
    <xf numFmtId="9" fontId="9" fillId="5" borderId="6" xfId="0" applyNumberFormat="1" applyFont="1" applyFill="1" applyBorder="1" applyAlignment="1">
      <alignment vertical="top" wrapText="1"/>
    </xf>
    <xf numFmtId="4" fontId="9" fillId="0" borderId="2" xfId="0" applyNumberFormat="1" applyFont="1" applyBorder="1" applyAlignment="1">
      <alignment vertical="top" wrapText="1"/>
    </xf>
    <xf numFmtId="10" fontId="9" fillId="0" borderId="2" xfId="0" applyNumberFormat="1" applyFont="1" applyBorder="1" applyAlignment="1">
      <alignment vertical="top" wrapText="1"/>
    </xf>
    <xf numFmtId="10" fontId="9" fillId="0" borderId="2" xfId="4" applyNumberFormat="1" applyFont="1" applyBorder="1" applyAlignment="1">
      <alignment vertical="top" wrapText="1"/>
    </xf>
    <xf numFmtId="39" fontId="9" fillId="15" borderId="2" xfId="0" applyNumberFormat="1" applyFont="1" applyFill="1" applyBorder="1" applyAlignment="1">
      <alignment vertical="top"/>
    </xf>
    <xf numFmtId="37" fontId="9" fillId="15" borderId="2" xfId="0" applyNumberFormat="1" applyFont="1" applyFill="1" applyBorder="1" applyAlignment="1">
      <alignment vertical="top"/>
    </xf>
    <xf numFmtId="3" fontId="15" fillId="15" borderId="2" xfId="0" applyNumberFormat="1" applyFont="1" applyFill="1" applyBorder="1" applyAlignment="1">
      <alignment vertical="top"/>
    </xf>
    <xf numFmtId="9" fontId="14" fillId="3" borderId="2" xfId="4" applyFont="1" applyFill="1" applyBorder="1" applyAlignment="1">
      <alignment vertical="top"/>
    </xf>
    <xf numFmtId="9" fontId="9" fillId="0" borderId="0" xfId="4" applyFont="1" applyAlignment="1">
      <alignment vertical="top" wrapText="1"/>
    </xf>
    <xf numFmtId="168" fontId="9" fillId="0" borderId="2" xfId="0" applyNumberFormat="1" applyFont="1" applyBorder="1" applyAlignment="1">
      <alignment vertical="top" wrapText="1"/>
    </xf>
    <xf numFmtId="0" fontId="12" fillId="0" borderId="4" xfId="0" applyFont="1" applyBorder="1"/>
    <xf numFmtId="167" fontId="0" fillId="0" borderId="1" xfId="3" applyNumberFormat="1" applyFont="1" applyFill="1" applyBorder="1"/>
    <xf numFmtId="167" fontId="33" fillId="0" borderId="2" xfId="3" applyNumberFormat="1" applyFont="1" applyFill="1" applyBorder="1" applyAlignment="1">
      <alignment vertical="top"/>
    </xf>
    <xf numFmtId="167" fontId="33" fillId="0" borderId="2" xfId="3" applyNumberFormat="1" applyFont="1" applyFill="1" applyBorder="1" applyAlignment="1">
      <alignment horizontal="left" vertical="top" wrapText="1"/>
    </xf>
    <xf numFmtId="0" fontId="13" fillId="2" borderId="23" xfId="0" applyFont="1" applyFill="1" applyBorder="1" applyAlignment="1">
      <alignment horizontal="center" vertical="top" wrapText="1"/>
    </xf>
    <xf numFmtId="167" fontId="33" fillId="15" borderId="2" xfId="0" applyNumberFormat="1" applyFont="1" applyFill="1" applyBorder="1" applyAlignment="1">
      <alignment vertical="top"/>
    </xf>
    <xf numFmtId="164" fontId="9" fillId="0" borderId="1" xfId="0" applyNumberFormat="1" applyFont="1" applyBorder="1" applyAlignment="1">
      <alignment vertical="top" wrapText="1"/>
    </xf>
    <xf numFmtId="164" fontId="9" fillId="0" borderId="2" xfId="2" applyNumberFormat="1" applyFont="1" applyBorder="1" applyAlignment="1">
      <alignment vertical="top"/>
    </xf>
    <xf numFmtId="164" fontId="9" fillId="0" borderId="2" xfId="2" applyNumberFormat="1" applyFont="1" applyFill="1" applyBorder="1" applyAlignment="1">
      <alignment vertical="top"/>
    </xf>
    <xf numFmtId="0" fontId="7" fillId="0" borderId="0" xfId="0" applyFont="1" applyAlignment="1">
      <alignment horizontal="left" vertical="center" wrapText="1"/>
    </xf>
    <xf numFmtId="0" fontId="7" fillId="0" borderId="0" xfId="0" applyFont="1" applyAlignment="1">
      <alignment horizontal="left" vertical="top" wrapText="1"/>
    </xf>
    <xf numFmtId="0" fontId="8" fillId="0" borderId="0" xfId="0" applyFont="1"/>
    <xf numFmtId="0" fontId="9" fillId="0" borderId="2" xfId="0" applyFont="1" applyBorder="1" applyAlignment="1">
      <alignment horizontal="right" vertical="top" wrapText="1"/>
    </xf>
    <xf numFmtId="0" fontId="18" fillId="0" borderId="2" xfId="0" applyFont="1" applyBorder="1" applyAlignment="1">
      <alignment horizontal="right" vertical="top" wrapText="1"/>
    </xf>
    <xf numFmtId="164" fontId="9" fillId="0" borderId="2" xfId="2" applyNumberFormat="1" applyFont="1" applyFill="1" applyBorder="1" applyAlignment="1">
      <alignment horizontal="right" vertical="top" wrapText="1"/>
    </xf>
    <xf numFmtId="164" fontId="9" fillId="0" borderId="2" xfId="2" applyNumberFormat="1" applyFont="1" applyFill="1" applyBorder="1" applyAlignment="1">
      <alignment vertical="top" wrapText="1"/>
    </xf>
    <xf numFmtId="164" fontId="18" fillId="0" borderId="2" xfId="2" applyNumberFormat="1" applyFont="1" applyFill="1" applyBorder="1" applyAlignment="1">
      <alignment vertical="top" wrapText="1"/>
    </xf>
    <xf numFmtId="3" fontId="0" fillId="0" borderId="0" xfId="0" applyNumberFormat="1"/>
    <xf numFmtId="167" fontId="9" fillId="0" borderId="4" xfId="0" applyNumberFormat="1" applyFont="1" applyBorder="1" applyAlignment="1">
      <alignment vertical="top"/>
    </xf>
    <xf numFmtId="167" fontId="9" fillId="0" borderId="22" xfId="0" applyNumberFormat="1" applyFont="1" applyBorder="1" applyAlignment="1">
      <alignment vertical="top"/>
    </xf>
    <xf numFmtId="44" fontId="9" fillId="0" borderId="2" xfId="0" applyNumberFormat="1" applyFont="1" applyBorder="1" applyAlignment="1">
      <alignment vertical="top"/>
    </xf>
    <xf numFmtId="167" fontId="9" fillId="0" borderId="10" xfId="0" applyNumberFormat="1" applyFont="1" applyBorder="1" applyAlignment="1">
      <alignment vertical="top"/>
    </xf>
    <xf numFmtId="44" fontId="33" fillId="0" borderId="6" xfId="0" applyNumberFormat="1" applyFont="1" applyBorder="1" applyAlignment="1">
      <alignment vertical="top" wrapText="1"/>
    </xf>
    <xf numFmtId="164" fontId="30" fillId="15" borderId="16" xfId="2" applyNumberFormat="1" applyFont="1" applyFill="1" applyBorder="1" applyAlignment="1">
      <alignment vertical="top" wrapText="1"/>
    </xf>
    <xf numFmtId="3" fontId="20" fillId="0" borderId="2" xfId="0" applyNumberFormat="1" applyFont="1" applyBorder="1" applyAlignment="1">
      <alignment vertical="top" wrapText="1"/>
    </xf>
    <xf numFmtId="3" fontId="18" fillId="0" borderId="2" xfId="0" applyNumberFormat="1" applyFont="1" applyBorder="1" applyAlignment="1">
      <alignment vertical="top" wrapText="1"/>
    </xf>
    <xf numFmtId="3" fontId="33" fillId="0" borderId="2" xfId="0" applyNumberFormat="1" applyFont="1" applyBorder="1" applyAlignment="1">
      <alignment vertical="top" wrapText="1"/>
    </xf>
    <xf numFmtId="37" fontId="9" fillId="0" borderId="3" xfId="0" applyNumberFormat="1" applyFont="1" applyBorder="1" applyAlignment="1">
      <alignment vertical="top" wrapText="1"/>
    </xf>
    <xf numFmtId="37" fontId="9" fillId="0" borderId="3" xfId="0" applyNumberFormat="1" applyFont="1" applyBorder="1" applyAlignment="1">
      <alignment vertical="center" wrapText="1"/>
    </xf>
    <xf numFmtId="39" fontId="15" fillId="0" borderId="2" xfId="0" applyNumberFormat="1" applyFont="1" applyBorder="1" applyAlignment="1">
      <alignment vertical="top" wrapText="1"/>
    </xf>
    <xf numFmtId="164" fontId="9" fillId="0" borderId="3" xfId="0" applyNumberFormat="1" applyFont="1" applyBorder="1" applyAlignment="1">
      <alignment vertical="center" wrapText="1"/>
    </xf>
    <xf numFmtId="9" fontId="9" fillId="0" borderId="2" xfId="4" applyFont="1" applyFill="1" applyBorder="1" applyAlignment="1">
      <alignment vertical="top" wrapText="1"/>
    </xf>
    <xf numFmtId="180" fontId="9" fillId="0" borderId="2" xfId="0" applyNumberFormat="1" applyFont="1" applyBorder="1" applyAlignment="1">
      <alignment vertical="top" wrapText="1"/>
    </xf>
    <xf numFmtId="164" fontId="15" fillId="0" borderId="2" xfId="2" applyNumberFormat="1" applyFont="1" applyFill="1" applyBorder="1" applyAlignment="1">
      <alignment vertical="top" wrapText="1"/>
    </xf>
    <xf numFmtId="177" fontId="0" fillId="0" borderId="0" xfId="2" applyNumberFormat="1" applyFont="1" applyFill="1" applyAlignment="1">
      <alignment horizontal="center"/>
    </xf>
    <xf numFmtId="9" fontId="15" fillId="0" borderId="2" xfId="4" applyFont="1" applyBorder="1" applyAlignment="1">
      <alignment vertical="top"/>
    </xf>
    <xf numFmtId="9" fontId="9" fillId="15" borderId="2" xfId="4" applyFont="1" applyFill="1" applyBorder="1" applyAlignment="1">
      <alignment vertical="top" wrapText="1"/>
    </xf>
    <xf numFmtId="9" fontId="36" fillId="15" borderId="2" xfId="0" applyNumberFormat="1" applyFont="1" applyFill="1" applyBorder="1" applyAlignment="1">
      <alignment vertical="top" wrapText="1"/>
    </xf>
    <xf numFmtId="3" fontId="18" fillId="0" borderId="2" xfId="0" applyNumberFormat="1" applyFont="1" applyBorder="1"/>
    <xf numFmtId="3" fontId="33" fillId="0" borderId="2" xfId="0" applyNumberFormat="1" applyFont="1" applyBorder="1"/>
    <xf numFmtId="3" fontId="33" fillId="0" borderId="2" xfId="0" applyNumberFormat="1" applyFont="1" applyBorder="1" applyAlignment="1">
      <alignment vertical="top"/>
    </xf>
    <xf numFmtId="164" fontId="18" fillId="0" borderId="4" xfId="2" applyNumberFormat="1" applyFont="1" applyFill="1" applyBorder="1"/>
    <xf numFmtId="164" fontId="33" fillId="0" borderId="4" xfId="2" applyNumberFormat="1" applyFont="1" applyFill="1" applyBorder="1"/>
    <xf numFmtId="3" fontId="33" fillId="0" borderId="4" xfId="0" applyNumberFormat="1" applyFont="1" applyBorder="1"/>
    <xf numFmtId="3" fontId="18" fillId="0" borderId="2" xfId="0" applyNumberFormat="1" applyFont="1" applyBorder="1" applyAlignment="1">
      <alignment vertical="top"/>
    </xf>
    <xf numFmtId="0" fontId="18" fillId="0" borderId="2" xfId="0" applyFont="1" applyBorder="1" applyAlignment="1">
      <alignment wrapText="1"/>
    </xf>
    <xf numFmtId="0" fontId="18" fillId="0" borderId="4" xfId="0" applyFont="1" applyBorder="1" applyAlignment="1">
      <alignment wrapText="1"/>
    </xf>
    <xf numFmtId="3" fontId="18" fillId="0" borderId="4" xfId="0" applyNumberFormat="1" applyFont="1" applyBorder="1" applyAlignment="1">
      <alignment wrapText="1"/>
    </xf>
    <xf numFmtId="9" fontId="15" fillId="0" borderId="2" xfId="4" applyFont="1" applyFill="1" applyBorder="1" applyAlignment="1">
      <alignment vertical="top" wrapText="1"/>
    </xf>
    <xf numFmtId="3" fontId="33" fillId="0" borderId="3" xfId="0" applyNumberFormat="1" applyFont="1" applyBorder="1" applyAlignment="1">
      <alignment vertical="center" wrapText="1"/>
    </xf>
    <xf numFmtId="167" fontId="9" fillId="0" borderId="2" xfId="3" applyNumberFormat="1" applyFont="1" applyFill="1" applyBorder="1" applyAlignment="1">
      <alignment vertical="top" wrapText="1"/>
    </xf>
    <xf numFmtId="6" fontId="18" fillId="0" borderId="2" xfId="0" applyNumberFormat="1" applyFont="1" applyBorder="1" applyAlignment="1">
      <alignment wrapText="1"/>
    </xf>
    <xf numFmtId="6" fontId="18" fillId="0" borderId="4" xfId="0" applyNumberFormat="1" applyFont="1" applyBorder="1" applyAlignment="1">
      <alignment wrapText="1"/>
    </xf>
    <xf numFmtId="167" fontId="18" fillId="0" borderId="2" xfId="3" applyNumberFormat="1" applyFont="1" applyFill="1" applyBorder="1" applyAlignment="1">
      <alignment vertical="top" wrapText="1"/>
    </xf>
    <xf numFmtId="167" fontId="15" fillId="0" borderId="2" xfId="3" applyNumberFormat="1" applyFont="1" applyFill="1" applyBorder="1" applyAlignment="1">
      <alignment vertical="top" wrapText="1"/>
    </xf>
    <xf numFmtId="174" fontId="18" fillId="0" borderId="2" xfId="0" applyNumberFormat="1" applyFont="1" applyBorder="1" applyAlignment="1">
      <alignment vertical="top" wrapText="1"/>
    </xf>
    <xf numFmtId="167" fontId="9" fillId="0" borderId="2" xfId="3" applyNumberFormat="1" applyFont="1" applyFill="1" applyBorder="1" applyAlignment="1">
      <alignment horizontal="center" vertical="top"/>
    </xf>
    <xf numFmtId="167" fontId="33" fillId="0" borderId="2" xfId="3" applyNumberFormat="1" applyFont="1" applyFill="1" applyBorder="1" applyAlignment="1">
      <alignment vertical="top" wrapText="1"/>
    </xf>
    <xf numFmtId="0" fontId="13" fillId="2" borderId="24" xfId="0" applyFont="1" applyFill="1" applyBorder="1" applyAlignment="1">
      <alignment horizontal="center" vertical="top" wrapText="1"/>
    </xf>
    <xf numFmtId="0" fontId="13" fillId="2" borderId="25" xfId="0" applyFont="1" applyFill="1" applyBorder="1" applyAlignment="1">
      <alignment horizontal="center" vertical="top" wrapText="1"/>
    </xf>
    <xf numFmtId="38" fontId="13" fillId="2" borderId="26" xfId="0" applyNumberFormat="1" applyFont="1" applyFill="1" applyBorder="1" applyAlignment="1">
      <alignment horizontal="center" vertical="top" wrapText="1"/>
    </xf>
    <xf numFmtId="0" fontId="13" fillId="2" borderId="27" xfId="0" applyFont="1" applyFill="1" applyBorder="1" applyAlignment="1">
      <alignment horizontal="center" vertical="top" wrapText="1"/>
    </xf>
    <xf numFmtId="38" fontId="13" fillId="2" borderId="27" xfId="0" applyNumberFormat="1" applyFont="1" applyFill="1" applyBorder="1" applyAlignment="1">
      <alignment horizontal="center" vertical="top" wrapText="1"/>
    </xf>
    <xf numFmtId="0" fontId="59" fillId="2" borderId="19" xfId="0" applyFont="1" applyFill="1" applyBorder="1" applyAlignment="1">
      <alignment horizontal="center" vertical="top" wrapText="1"/>
    </xf>
    <xf numFmtId="167" fontId="36" fillId="15" borderId="2" xfId="0" applyNumberFormat="1" applyFont="1" applyFill="1" applyBorder="1" applyAlignment="1">
      <alignment vertical="top"/>
    </xf>
    <xf numFmtId="3" fontId="33" fillId="0" borderId="3" xfId="0" applyNumberFormat="1" applyFont="1" applyBorder="1" applyAlignment="1">
      <alignment horizontal="center" vertical="center"/>
    </xf>
    <xf numFmtId="0" fontId="0" fillId="0" borderId="0" xfId="0" applyAlignment="1">
      <alignment horizontal="right"/>
    </xf>
    <xf numFmtId="0" fontId="11" fillId="2" borderId="1" xfId="0" applyFont="1" applyFill="1" applyBorder="1" applyAlignment="1">
      <alignment horizontal="right" vertical="top" wrapText="1"/>
    </xf>
    <xf numFmtId="38" fontId="13" fillId="2" borderId="1" xfId="0" applyNumberFormat="1" applyFont="1" applyFill="1" applyBorder="1" applyAlignment="1">
      <alignment horizontal="right" vertical="top" wrapText="1"/>
    </xf>
    <xf numFmtId="0" fontId="9" fillId="0" borderId="0" xfId="0" applyFont="1" applyAlignment="1">
      <alignment horizontal="right" vertical="top" wrapText="1"/>
    </xf>
    <xf numFmtId="9" fontId="9" fillId="0" borderId="2" xfId="4" applyFont="1" applyBorder="1" applyAlignment="1">
      <alignment horizontal="right" vertical="top" wrapText="1"/>
    </xf>
    <xf numFmtId="0" fontId="16" fillId="0" borderId="0" xfId="0" applyFont="1" applyAlignment="1">
      <alignment horizontal="right" vertical="top"/>
    </xf>
    <xf numFmtId="0" fontId="14" fillId="0" borderId="1" xfId="0" applyFont="1" applyBorder="1" applyAlignment="1">
      <alignment horizontal="right" vertical="top" wrapText="1"/>
    </xf>
    <xf numFmtId="3" fontId="14" fillId="0" borderId="1" xfId="0" applyNumberFormat="1" applyFont="1" applyBorder="1" applyAlignment="1">
      <alignment horizontal="right" vertical="top" wrapText="1"/>
    </xf>
    <xf numFmtId="3" fontId="9" fillId="0" borderId="2" xfId="0" applyNumberFormat="1" applyFont="1" applyBorder="1" applyAlignment="1">
      <alignment horizontal="right" vertical="top" wrapText="1"/>
    </xf>
    <xf numFmtId="0" fontId="0" fillId="0" borderId="0" xfId="0" applyAlignment="1">
      <alignment vertical="top"/>
    </xf>
    <xf numFmtId="0" fontId="12" fillId="0" borderId="1" xfId="0" applyFont="1" applyBorder="1" applyAlignment="1">
      <alignment vertical="top"/>
    </xf>
    <xf numFmtId="0" fontId="0" fillId="0" borderId="0" xfId="0" applyAlignment="1">
      <alignment horizontal="center" vertical="top"/>
    </xf>
    <xf numFmtId="0" fontId="30" fillId="0" borderId="18" xfId="0" applyFont="1" applyBorder="1" applyAlignment="1">
      <alignment vertical="top"/>
    </xf>
    <xf numFmtId="0" fontId="34" fillId="0" borderId="0" xfId="0" applyFont="1" applyAlignment="1">
      <alignment vertical="top"/>
    </xf>
    <xf numFmtId="0" fontId="0" fillId="0" borderId="0" xfId="0" applyAlignment="1">
      <alignment horizontal="right" vertical="top"/>
    </xf>
    <xf numFmtId="0" fontId="13" fillId="2" borderId="1" xfId="0" applyFont="1" applyFill="1" applyBorder="1" applyAlignment="1">
      <alignment horizontal="right" vertical="top" wrapText="1"/>
    </xf>
    <xf numFmtId="164" fontId="15" fillId="0" borderId="2" xfId="0" applyNumberFormat="1" applyFont="1" applyBorder="1" applyAlignment="1">
      <alignment horizontal="right" vertical="top" wrapText="1"/>
    </xf>
    <xf numFmtId="0" fontId="9" fillId="0" borderId="1" xfId="0" applyFont="1" applyBorder="1" applyAlignment="1">
      <alignment horizontal="right" vertical="top" wrapText="1"/>
    </xf>
    <xf numFmtId="9" fontId="9" fillId="0" borderId="1" xfId="0" applyNumberFormat="1" applyFont="1" applyBorder="1" applyAlignment="1">
      <alignment horizontal="right" vertical="top"/>
    </xf>
    <xf numFmtId="0" fontId="33" fillId="0" borderId="2" xfId="0" applyFont="1" applyBorder="1" applyAlignment="1">
      <alignment horizontal="right" vertical="top" wrapText="1"/>
    </xf>
    <xf numFmtId="0" fontId="14" fillId="0" borderId="2" xfId="0" applyFont="1" applyBorder="1" applyAlignment="1">
      <alignment horizontal="right" vertical="top" wrapText="1"/>
    </xf>
    <xf numFmtId="164" fontId="15" fillId="4" borderId="2" xfId="0" applyNumberFormat="1" applyFont="1" applyFill="1" applyBorder="1" applyAlignment="1">
      <alignment horizontal="right" vertical="top"/>
    </xf>
    <xf numFmtId="164" fontId="15" fillId="3" borderId="2" xfId="0" applyNumberFormat="1" applyFont="1" applyFill="1" applyBorder="1" applyAlignment="1">
      <alignment horizontal="right" vertical="top"/>
    </xf>
    <xf numFmtId="165" fontId="9" fillId="3" borderId="2" xfId="0" applyNumberFormat="1" applyFont="1" applyFill="1" applyBorder="1" applyAlignment="1">
      <alignment horizontal="right" vertical="top"/>
    </xf>
    <xf numFmtId="43" fontId="9" fillId="0" borderId="0" xfId="0" applyNumberFormat="1" applyFont="1" applyAlignment="1">
      <alignment horizontal="right" vertical="top"/>
    </xf>
    <xf numFmtId="9" fontId="17" fillId="0" borderId="6" xfId="0" applyNumberFormat="1" applyFont="1" applyBorder="1" applyAlignment="1">
      <alignment horizontal="right" vertical="top"/>
    </xf>
    <xf numFmtId="164" fontId="9" fillId="0" borderId="6" xfId="0" applyNumberFormat="1" applyFont="1" applyBorder="1" applyAlignment="1">
      <alignment horizontal="right" vertical="top"/>
    </xf>
    <xf numFmtId="0" fontId="32" fillId="0" borderId="2" xfId="0" applyFont="1" applyBorder="1" applyAlignment="1">
      <alignment horizontal="right" vertical="top" wrapText="1"/>
    </xf>
    <xf numFmtId="164" fontId="19" fillId="3" borderId="2" xfId="0" applyNumberFormat="1" applyFont="1" applyFill="1" applyBorder="1" applyAlignment="1">
      <alignment horizontal="right" vertical="top"/>
    </xf>
    <xf numFmtId="164" fontId="14" fillId="3" borderId="2" xfId="0" applyNumberFormat="1" applyFont="1" applyFill="1" applyBorder="1" applyAlignment="1">
      <alignment horizontal="right" vertical="top"/>
    </xf>
    <xf numFmtId="0" fontId="9" fillId="0" borderId="6" xfId="0" applyFont="1" applyBorder="1" applyAlignment="1">
      <alignment horizontal="right" vertical="top"/>
    </xf>
    <xf numFmtId="9" fontId="33" fillId="0" borderId="2" xfId="0" applyNumberFormat="1" applyFont="1" applyBorder="1" applyAlignment="1">
      <alignment horizontal="right" vertical="top" wrapText="1"/>
    </xf>
    <xf numFmtId="165" fontId="9" fillId="0" borderId="2" xfId="0" applyNumberFormat="1" applyFont="1" applyBorder="1" applyAlignment="1">
      <alignment horizontal="right" vertical="top" wrapText="1"/>
    </xf>
    <xf numFmtId="0" fontId="33" fillId="0" borderId="0" xfId="0" applyFont="1" applyAlignment="1">
      <alignment horizontal="right" vertical="top" wrapText="1"/>
    </xf>
    <xf numFmtId="0" fontId="33" fillId="0" borderId="0" xfId="0" applyFont="1" applyAlignment="1">
      <alignment horizontal="right" vertical="top"/>
    </xf>
    <xf numFmtId="164" fontId="33" fillId="0" borderId="2" xfId="0" applyNumberFormat="1" applyFont="1" applyBorder="1" applyAlignment="1">
      <alignment horizontal="right" vertical="top"/>
    </xf>
    <xf numFmtId="164" fontId="33" fillId="3" borderId="2" xfId="0" applyNumberFormat="1" applyFont="1" applyFill="1" applyBorder="1" applyAlignment="1">
      <alignment horizontal="right" vertical="top"/>
    </xf>
    <xf numFmtId="164" fontId="33" fillId="0" borderId="2" xfId="0" applyNumberFormat="1" applyFont="1" applyBorder="1" applyAlignment="1">
      <alignment horizontal="right" vertical="top" wrapText="1"/>
    </xf>
    <xf numFmtId="43" fontId="9" fillId="0" borderId="0" xfId="0" applyNumberFormat="1" applyFont="1" applyAlignment="1">
      <alignment horizontal="right" vertical="top" wrapText="1"/>
    </xf>
    <xf numFmtId="164" fontId="9" fillId="5" borderId="2" xfId="0" applyNumberFormat="1" applyFont="1" applyFill="1" applyBorder="1" applyAlignment="1">
      <alignment horizontal="right" vertical="top"/>
    </xf>
    <xf numFmtId="164" fontId="15" fillId="5" borderId="2" xfId="0" applyNumberFormat="1" applyFont="1" applyFill="1" applyBorder="1" applyAlignment="1">
      <alignment horizontal="right" vertical="top"/>
    </xf>
    <xf numFmtId="9" fontId="9" fillId="0" borderId="0" xfId="0" applyNumberFormat="1" applyFont="1" applyAlignment="1">
      <alignment horizontal="right" vertical="top"/>
    </xf>
    <xf numFmtId="165" fontId="9" fillId="0" borderId="6" xfId="0" applyNumberFormat="1" applyFont="1" applyBorder="1" applyAlignment="1">
      <alignment horizontal="right" vertical="top"/>
    </xf>
    <xf numFmtId="164" fontId="9" fillId="6" borderId="2" xfId="0" applyNumberFormat="1" applyFont="1" applyFill="1" applyBorder="1" applyAlignment="1">
      <alignment horizontal="right" vertical="top"/>
    </xf>
    <xf numFmtId="164" fontId="9" fillId="16" borderId="2" xfId="0" applyNumberFormat="1" applyFont="1" applyFill="1" applyBorder="1" applyAlignment="1">
      <alignment horizontal="right" vertical="top"/>
    </xf>
    <xf numFmtId="164" fontId="18" fillId="0" borderId="2" xfId="0" applyNumberFormat="1" applyFont="1" applyBorder="1" applyAlignment="1">
      <alignment horizontal="right" vertical="top"/>
    </xf>
    <xf numFmtId="164" fontId="9" fillId="0" borderId="2" xfId="2" applyNumberFormat="1" applyFont="1" applyFill="1" applyBorder="1" applyAlignment="1">
      <alignment horizontal="right" vertical="top"/>
    </xf>
    <xf numFmtId="165" fontId="15" fillId="0" borderId="2" xfId="0" applyNumberFormat="1" applyFont="1" applyBorder="1" applyAlignment="1">
      <alignment horizontal="right" vertical="top" wrapText="1"/>
    </xf>
    <xf numFmtId="165" fontId="36" fillId="0" borderId="2" xfId="0" applyNumberFormat="1" applyFont="1" applyBorder="1" applyAlignment="1">
      <alignment horizontal="right" vertical="top" wrapText="1"/>
    </xf>
    <xf numFmtId="165" fontId="15" fillId="0" borderId="2" xfId="0" applyNumberFormat="1" applyFont="1" applyBorder="1" applyAlignment="1">
      <alignment horizontal="right" vertical="top"/>
    </xf>
    <xf numFmtId="165" fontId="15" fillId="15" borderId="2" xfId="0" applyNumberFormat="1" applyFont="1" applyFill="1" applyBorder="1" applyAlignment="1">
      <alignment horizontal="right" vertical="top" wrapText="1"/>
    </xf>
    <xf numFmtId="9" fontId="15" fillId="0" borderId="2" xfId="0" applyNumberFormat="1" applyFont="1" applyBorder="1" applyAlignment="1">
      <alignment horizontal="right" vertical="top"/>
    </xf>
    <xf numFmtId="165" fontId="15" fillId="3" borderId="2" xfId="0" applyNumberFormat="1" applyFont="1" applyFill="1" applyBorder="1" applyAlignment="1">
      <alignment horizontal="right" vertical="top"/>
    </xf>
    <xf numFmtId="165" fontId="15" fillId="15" borderId="2" xfId="0" applyNumberFormat="1" applyFont="1" applyFill="1" applyBorder="1" applyAlignment="1">
      <alignment horizontal="right" vertical="top"/>
    </xf>
    <xf numFmtId="165" fontId="9" fillId="0" borderId="6" xfId="4" applyNumberFormat="1" applyFont="1" applyFill="1" applyBorder="1" applyAlignment="1">
      <alignment horizontal="right" vertical="top" wrapText="1"/>
    </xf>
    <xf numFmtId="164" fontId="9" fillId="21" borderId="2" xfId="0" applyNumberFormat="1" applyFont="1" applyFill="1" applyBorder="1" applyAlignment="1">
      <alignment horizontal="right" vertical="top"/>
    </xf>
    <xf numFmtId="164" fontId="9" fillId="15" borderId="2" xfId="0" applyNumberFormat="1" applyFont="1" applyFill="1" applyBorder="1" applyAlignment="1">
      <alignment horizontal="right" vertical="top"/>
    </xf>
    <xf numFmtId="9" fontId="15" fillId="0" borderId="2" xfId="0" applyNumberFormat="1" applyFont="1" applyBorder="1" applyAlignment="1">
      <alignment horizontal="right" vertical="top" wrapText="1"/>
    </xf>
    <xf numFmtId="165" fontId="14" fillId="3" borderId="6" xfId="0" applyNumberFormat="1" applyFont="1" applyFill="1" applyBorder="1" applyAlignment="1">
      <alignment horizontal="right" vertical="top" wrapText="1"/>
    </xf>
    <xf numFmtId="165" fontId="14" fillId="7" borderId="6" xfId="0" applyNumberFormat="1" applyFont="1" applyFill="1" applyBorder="1" applyAlignment="1">
      <alignment horizontal="right" vertical="top" wrapText="1"/>
    </xf>
    <xf numFmtId="165" fontId="9" fillId="16" borderId="2" xfId="0" applyNumberFormat="1" applyFont="1" applyFill="1" applyBorder="1" applyAlignment="1">
      <alignment horizontal="right" vertical="top"/>
    </xf>
    <xf numFmtId="10" fontId="14" fillId="22" borderId="6" xfId="0" applyNumberFormat="1" applyFont="1" applyFill="1" applyBorder="1" applyAlignment="1">
      <alignment horizontal="right" vertical="top" wrapText="1"/>
    </xf>
    <xf numFmtId="10" fontId="15" fillId="3" borderId="2" xfId="0" applyNumberFormat="1" applyFont="1" applyFill="1" applyBorder="1" applyAlignment="1">
      <alignment horizontal="right" vertical="top" wrapText="1"/>
    </xf>
    <xf numFmtId="165" fontId="15" fillId="7" borderId="2" xfId="0" applyNumberFormat="1" applyFont="1" applyFill="1" applyBorder="1" applyAlignment="1">
      <alignment horizontal="right" vertical="top" wrapText="1"/>
    </xf>
    <xf numFmtId="165" fontId="15" fillId="22" borderId="2" xfId="0" applyNumberFormat="1" applyFont="1" applyFill="1" applyBorder="1" applyAlignment="1">
      <alignment horizontal="right" vertical="top" wrapText="1"/>
    </xf>
    <xf numFmtId="164" fontId="15" fillId="0" borderId="2" xfId="2" applyNumberFormat="1" applyFont="1" applyFill="1" applyBorder="1" applyAlignment="1">
      <alignment horizontal="right" vertical="top"/>
    </xf>
    <xf numFmtId="164" fontId="9" fillId="8" borderId="2" xfId="0" applyNumberFormat="1" applyFont="1" applyFill="1" applyBorder="1" applyAlignment="1">
      <alignment horizontal="right" vertical="top"/>
    </xf>
    <xf numFmtId="0" fontId="12" fillId="0" borderId="1" xfId="0" applyFont="1" applyBorder="1" applyAlignment="1">
      <alignment horizontal="right" vertical="top"/>
    </xf>
    <xf numFmtId="164" fontId="9" fillId="0" borderId="0" xfId="2" applyNumberFormat="1" applyFont="1" applyFill="1" applyAlignment="1">
      <alignment horizontal="right" vertical="top" wrapText="1"/>
    </xf>
    <xf numFmtId="164" fontId="9" fillId="0" borderId="0" xfId="2" applyNumberFormat="1" applyFont="1" applyFill="1" applyAlignment="1">
      <alignment horizontal="right" vertical="top"/>
    </xf>
    <xf numFmtId="37" fontId="15" fillId="0" borderId="2" xfId="0" applyNumberFormat="1" applyFont="1" applyBorder="1" applyAlignment="1">
      <alignment horizontal="right" vertical="top"/>
    </xf>
    <xf numFmtId="9" fontId="15" fillId="3" borderId="2" xfId="0" applyNumberFormat="1" applyFont="1" applyFill="1" applyBorder="1" applyAlignment="1">
      <alignment horizontal="right" vertical="top"/>
    </xf>
    <xf numFmtId="1" fontId="9" fillId="0" borderId="2" xfId="0" applyNumberFormat="1" applyFont="1" applyBorder="1" applyAlignment="1">
      <alignment horizontal="right" vertical="top" wrapText="1"/>
    </xf>
    <xf numFmtId="166" fontId="9" fillId="0" borderId="2" xfId="0" applyNumberFormat="1" applyFont="1" applyBorder="1" applyAlignment="1">
      <alignment horizontal="right" vertical="top" wrapText="1"/>
    </xf>
    <xf numFmtId="167" fontId="9" fillId="3" borderId="2" xfId="0" applyNumberFormat="1" applyFont="1" applyFill="1" applyBorder="1" applyAlignment="1">
      <alignment horizontal="right" vertical="top"/>
    </xf>
    <xf numFmtId="166" fontId="18" fillId="0" borderId="2" xfId="0" applyNumberFormat="1" applyFont="1" applyBorder="1" applyAlignment="1">
      <alignment horizontal="right" vertical="top" wrapText="1"/>
    </xf>
    <xf numFmtId="164" fontId="9" fillId="23" borderId="2" xfId="0" applyNumberFormat="1" applyFont="1" applyFill="1" applyBorder="1" applyAlignment="1">
      <alignment horizontal="right" vertical="top"/>
    </xf>
    <xf numFmtId="43" fontId="12" fillId="0" borderId="1" xfId="0" applyNumberFormat="1" applyFont="1" applyBorder="1" applyAlignment="1">
      <alignment horizontal="right" vertical="top"/>
    </xf>
    <xf numFmtId="167" fontId="9" fillId="15" borderId="2" xfId="0" applyNumberFormat="1" applyFont="1" applyFill="1" applyBorder="1" applyAlignment="1">
      <alignment horizontal="right" vertical="top"/>
    </xf>
    <xf numFmtId="37" fontId="9" fillId="15" borderId="2" xfId="0" applyNumberFormat="1" applyFont="1" applyFill="1" applyBorder="1" applyAlignment="1">
      <alignment horizontal="right" vertical="top"/>
    </xf>
    <xf numFmtId="164" fontId="9" fillId="15" borderId="2" xfId="2" applyNumberFormat="1" applyFont="1" applyFill="1" applyBorder="1" applyAlignment="1">
      <alignment horizontal="right" vertical="top"/>
    </xf>
    <xf numFmtId="9" fontId="9" fillId="15" borderId="2" xfId="0" applyNumberFormat="1" applyFont="1" applyFill="1" applyBorder="1" applyAlignment="1">
      <alignment horizontal="right" vertical="top"/>
    </xf>
    <xf numFmtId="9" fontId="15" fillId="15" borderId="2" xfId="0" applyNumberFormat="1" applyFont="1" applyFill="1" applyBorder="1" applyAlignment="1">
      <alignment horizontal="right" vertical="top"/>
    </xf>
    <xf numFmtId="164" fontId="15" fillId="15" borderId="2" xfId="2" applyNumberFormat="1" applyFont="1" applyFill="1" applyBorder="1" applyAlignment="1">
      <alignment horizontal="right" vertical="top"/>
    </xf>
    <xf numFmtId="164" fontId="15" fillId="15" borderId="2" xfId="0" applyNumberFormat="1" applyFont="1" applyFill="1" applyBorder="1" applyAlignment="1">
      <alignment horizontal="right" vertical="top"/>
    </xf>
    <xf numFmtId="165" fontId="9" fillId="15" borderId="2" xfId="0" applyNumberFormat="1" applyFont="1" applyFill="1" applyBorder="1" applyAlignment="1">
      <alignment horizontal="right" vertical="top"/>
    </xf>
    <xf numFmtId="165" fontId="9" fillId="15" borderId="2" xfId="0" applyNumberFormat="1" applyFont="1" applyFill="1" applyBorder="1" applyAlignment="1">
      <alignment horizontal="right" vertical="top" wrapText="1"/>
    </xf>
    <xf numFmtId="164" fontId="33" fillId="15" borderId="2" xfId="0" applyNumberFormat="1" applyFont="1" applyFill="1" applyBorder="1" applyAlignment="1">
      <alignment horizontal="right" vertical="top"/>
    </xf>
    <xf numFmtId="164" fontId="19" fillId="15" borderId="2" xfId="0" applyNumberFormat="1" applyFont="1" applyFill="1" applyBorder="1" applyAlignment="1">
      <alignment horizontal="right" vertical="top"/>
    </xf>
    <xf numFmtId="9" fontId="9" fillId="15" borderId="2" xfId="0" applyNumberFormat="1" applyFont="1" applyFill="1" applyBorder="1" applyAlignment="1">
      <alignment horizontal="right" vertical="top" wrapText="1"/>
    </xf>
    <xf numFmtId="0" fontId="9" fillId="0" borderId="2" xfId="2" applyNumberFormat="1" applyFont="1" applyFill="1" applyBorder="1" applyAlignment="1">
      <alignment horizontal="right" vertical="top" wrapText="1"/>
    </xf>
    <xf numFmtId="0" fontId="18" fillId="0" borderId="2" xfId="2" applyNumberFormat="1" applyFont="1" applyFill="1" applyBorder="1" applyAlignment="1">
      <alignment horizontal="right" vertical="top" wrapText="1"/>
    </xf>
    <xf numFmtId="0" fontId="9" fillId="0" borderId="2" xfId="2" applyNumberFormat="1" applyFont="1" applyFill="1" applyBorder="1" applyAlignment="1">
      <alignment horizontal="right" vertical="top"/>
    </xf>
    <xf numFmtId="0" fontId="15" fillId="0" borderId="2" xfId="2" applyNumberFormat="1" applyFont="1" applyFill="1" applyBorder="1" applyAlignment="1">
      <alignment horizontal="right" vertical="top"/>
    </xf>
    <xf numFmtId="164" fontId="13" fillId="2" borderId="1" xfId="0" applyNumberFormat="1" applyFont="1" applyFill="1" applyBorder="1" applyAlignment="1">
      <alignment horizontal="right" vertical="top" wrapText="1"/>
    </xf>
    <xf numFmtId="0" fontId="9" fillId="5" borderId="1" xfId="0" applyFont="1" applyFill="1" applyBorder="1" applyAlignment="1">
      <alignment horizontal="right" vertical="top" wrapText="1"/>
    </xf>
    <xf numFmtId="3" fontId="9" fillId="3" borderId="2" xfId="0" applyNumberFormat="1" applyFont="1" applyFill="1" applyBorder="1" applyAlignment="1">
      <alignment horizontal="right" vertical="top"/>
    </xf>
    <xf numFmtId="3" fontId="9" fillId="5" borderId="2" xfId="0" applyNumberFormat="1" applyFont="1" applyFill="1" applyBorder="1" applyAlignment="1">
      <alignment horizontal="right" vertical="top" wrapText="1"/>
    </xf>
    <xf numFmtId="3" fontId="33" fillId="0" borderId="2" xfId="0" applyNumberFormat="1" applyFont="1" applyBorder="1" applyAlignment="1">
      <alignment horizontal="right" vertical="top" wrapText="1"/>
    </xf>
    <xf numFmtId="3" fontId="15" fillId="0" borderId="2" xfId="0" applyNumberFormat="1" applyFont="1" applyBorder="1" applyAlignment="1">
      <alignment horizontal="right" vertical="top" wrapText="1"/>
    </xf>
    <xf numFmtId="3" fontId="20" fillId="0" borderId="2" xfId="0" applyNumberFormat="1" applyFont="1" applyBorder="1" applyAlignment="1">
      <alignment horizontal="right" vertical="top" wrapText="1"/>
    </xf>
    <xf numFmtId="3" fontId="15" fillId="3" borderId="2" xfId="0" applyNumberFormat="1" applyFont="1" applyFill="1" applyBorder="1" applyAlignment="1">
      <alignment horizontal="right" vertical="top"/>
    </xf>
    <xf numFmtId="3" fontId="15" fillId="5" borderId="2" xfId="0" applyNumberFormat="1" applyFont="1" applyFill="1" applyBorder="1" applyAlignment="1">
      <alignment horizontal="right" vertical="top" wrapText="1"/>
    </xf>
    <xf numFmtId="37" fontId="36" fillId="0" borderId="2" xfId="0" applyNumberFormat="1" applyFont="1" applyBorder="1" applyAlignment="1">
      <alignment horizontal="right" vertical="top" wrapText="1"/>
    </xf>
    <xf numFmtId="3" fontId="36" fillId="0" borderId="2" xfId="0" applyNumberFormat="1" applyFont="1" applyBorder="1" applyAlignment="1">
      <alignment horizontal="right" vertical="top" wrapText="1"/>
    </xf>
    <xf numFmtId="164" fontId="9" fillId="0" borderId="2" xfId="0" applyNumberFormat="1" applyFont="1" applyBorder="1" applyAlignment="1">
      <alignment horizontal="right" vertical="center"/>
    </xf>
    <xf numFmtId="37" fontId="36" fillId="5" borderId="2" xfId="0" applyNumberFormat="1" applyFont="1" applyFill="1" applyBorder="1" applyAlignment="1">
      <alignment horizontal="right" vertical="top" wrapText="1"/>
    </xf>
    <xf numFmtId="37" fontId="15" fillId="5" borderId="2" xfId="0" applyNumberFormat="1" applyFont="1" applyFill="1" applyBorder="1" applyAlignment="1">
      <alignment horizontal="right" vertical="top" wrapText="1"/>
    </xf>
    <xf numFmtId="3" fontId="9" fillId="0" borderId="1" xfId="0" applyNumberFormat="1" applyFont="1" applyBorder="1" applyAlignment="1">
      <alignment horizontal="right" vertical="top" wrapText="1"/>
    </xf>
    <xf numFmtId="3" fontId="9" fillId="0" borderId="0" xfId="0" applyNumberFormat="1" applyFont="1" applyAlignment="1">
      <alignment horizontal="right" vertical="center"/>
    </xf>
    <xf numFmtId="3" fontId="9" fillId="0" borderId="0" xfId="0" applyNumberFormat="1" applyFont="1" applyAlignment="1">
      <alignment horizontal="right" vertical="top" wrapText="1"/>
    </xf>
    <xf numFmtId="3" fontId="9" fillId="5" borderId="1" xfId="0" applyNumberFormat="1" applyFont="1" applyFill="1" applyBorder="1" applyAlignment="1">
      <alignment horizontal="right" vertical="top" wrapText="1"/>
    </xf>
    <xf numFmtId="3" fontId="9" fillId="0" borderId="0" xfId="0" applyNumberFormat="1" applyFont="1" applyAlignment="1">
      <alignment horizontal="right" vertical="top"/>
    </xf>
    <xf numFmtId="37" fontId="9" fillId="5" borderId="2" xfId="0" applyNumberFormat="1" applyFont="1" applyFill="1" applyBorder="1" applyAlignment="1">
      <alignment horizontal="right" vertical="top" wrapText="1"/>
    </xf>
    <xf numFmtId="0" fontId="9" fillId="0" borderId="6" xfId="0" applyFont="1" applyBorder="1" applyAlignment="1">
      <alignment horizontal="right" vertical="center" wrapText="1"/>
    </xf>
    <xf numFmtId="0" fontId="9" fillId="5" borderId="6" xfId="0" applyFont="1" applyFill="1" applyBorder="1" applyAlignment="1">
      <alignment horizontal="right" vertical="top" wrapText="1"/>
    </xf>
    <xf numFmtId="0" fontId="9" fillId="0" borderId="0" xfId="0" applyFont="1" applyAlignment="1">
      <alignment horizontal="right" vertical="center"/>
    </xf>
    <xf numFmtId="3" fontId="18" fillId="0" borderId="2" xfId="0" applyNumberFormat="1" applyFont="1" applyBorder="1" applyAlignment="1">
      <alignment horizontal="right" vertical="top" wrapText="1"/>
    </xf>
    <xf numFmtId="3" fontId="15" fillId="0" borderId="2" xfId="0" applyNumberFormat="1" applyFont="1" applyBorder="1" applyAlignment="1">
      <alignment horizontal="right" vertical="top"/>
    </xf>
    <xf numFmtId="10" fontId="9" fillId="0" borderId="2" xfId="0" applyNumberFormat="1" applyFont="1" applyBorder="1" applyAlignment="1">
      <alignment horizontal="right" vertical="top"/>
    </xf>
    <xf numFmtId="165" fontId="9" fillId="0" borderId="2" xfId="0" applyNumberFormat="1" applyFont="1" applyBorder="1" applyAlignment="1">
      <alignment horizontal="right" vertical="top"/>
    </xf>
    <xf numFmtId="165" fontId="9" fillId="5" borderId="2" xfId="0" applyNumberFormat="1" applyFont="1" applyFill="1" applyBorder="1" applyAlignment="1">
      <alignment horizontal="right" vertical="top"/>
    </xf>
    <xf numFmtId="168" fontId="9" fillId="3" borderId="2" xfId="0" applyNumberFormat="1" applyFont="1" applyFill="1" applyBorder="1" applyAlignment="1">
      <alignment horizontal="right" vertical="top"/>
    </xf>
    <xf numFmtId="9" fontId="9" fillId="0" borderId="6" xfId="0" applyNumberFormat="1" applyFont="1" applyBorder="1" applyAlignment="1">
      <alignment horizontal="right" vertical="top" wrapText="1"/>
    </xf>
    <xf numFmtId="9" fontId="9" fillId="5" borderId="6" xfId="0" applyNumberFormat="1" applyFont="1" applyFill="1" applyBorder="1" applyAlignment="1">
      <alignment horizontal="right" vertical="top" wrapText="1"/>
    </xf>
    <xf numFmtId="164" fontId="9" fillId="5" borderId="6" xfId="0" applyNumberFormat="1" applyFont="1" applyFill="1" applyBorder="1" applyAlignment="1">
      <alignment horizontal="right" vertical="top" wrapText="1"/>
    </xf>
    <xf numFmtId="43" fontId="9" fillId="0" borderId="6" xfId="0" applyNumberFormat="1" applyFont="1" applyBorder="1" applyAlignment="1">
      <alignment horizontal="right" vertical="top" wrapText="1"/>
    </xf>
    <xf numFmtId="37" fontId="33" fillId="0" borderId="2" xfId="0" applyNumberFormat="1" applyFont="1" applyBorder="1" applyAlignment="1">
      <alignment horizontal="right" vertical="top" wrapText="1"/>
    </xf>
    <xf numFmtId="37" fontId="33" fillId="3" borderId="2" xfId="0" applyNumberFormat="1" applyFont="1" applyFill="1" applyBorder="1" applyAlignment="1">
      <alignment horizontal="right" vertical="top"/>
    </xf>
    <xf numFmtId="3" fontId="33" fillId="0" borderId="3" xfId="0" applyNumberFormat="1" applyFont="1" applyBorder="1" applyAlignment="1">
      <alignment horizontal="right" vertical="top"/>
    </xf>
    <xf numFmtId="37" fontId="33" fillId="0" borderId="2" xfId="0" applyNumberFormat="1" applyFont="1" applyBorder="1" applyAlignment="1">
      <alignment horizontal="right" vertical="top"/>
    </xf>
    <xf numFmtId="37" fontId="38" fillId="0" borderId="2" xfId="0" applyNumberFormat="1" applyFont="1" applyBorder="1" applyAlignment="1">
      <alignment horizontal="right" vertical="top"/>
    </xf>
    <xf numFmtId="37" fontId="38" fillId="3" borderId="2" xfId="0" applyNumberFormat="1" applyFont="1" applyFill="1" applyBorder="1" applyAlignment="1">
      <alignment horizontal="right" vertical="top"/>
    </xf>
    <xf numFmtId="168" fontId="9" fillId="0" borderId="2" xfId="0" applyNumberFormat="1" applyFont="1" applyBorder="1" applyAlignment="1">
      <alignment horizontal="right" vertical="top" wrapText="1"/>
    </xf>
    <xf numFmtId="168" fontId="33" fillId="3" borderId="2" xfId="0" applyNumberFormat="1" applyFont="1" applyFill="1" applyBorder="1" applyAlignment="1">
      <alignment horizontal="right" vertical="top"/>
    </xf>
    <xf numFmtId="168" fontId="9" fillId="5" borderId="2" xfId="0" applyNumberFormat="1" applyFont="1" applyFill="1" applyBorder="1" applyAlignment="1">
      <alignment horizontal="right" vertical="top" wrapText="1"/>
    </xf>
    <xf numFmtId="168" fontId="9" fillId="3" borderId="2" xfId="0" applyNumberFormat="1" applyFont="1" applyFill="1" applyBorder="1" applyAlignment="1">
      <alignment horizontal="right" vertical="top" wrapText="1"/>
    </xf>
    <xf numFmtId="168" fontId="9" fillId="17" borderId="2" xfId="0" applyNumberFormat="1" applyFont="1" applyFill="1" applyBorder="1" applyAlignment="1">
      <alignment horizontal="right" vertical="top" wrapText="1"/>
    </xf>
    <xf numFmtId="168" fontId="9" fillId="21" borderId="2" xfId="0" applyNumberFormat="1" applyFont="1" applyFill="1" applyBorder="1" applyAlignment="1">
      <alignment horizontal="right" vertical="top"/>
    </xf>
    <xf numFmtId="168" fontId="9" fillId="15" borderId="2" xfId="0" applyNumberFormat="1" applyFont="1" applyFill="1" applyBorder="1" applyAlignment="1">
      <alignment horizontal="right" vertical="top" wrapText="1"/>
    </xf>
    <xf numFmtId="168" fontId="9" fillId="19" borderId="2" xfId="0" applyNumberFormat="1" applyFont="1" applyFill="1" applyBorder="1" applyAlignment="1">
      <alignment horizontal="right" vertical="top" wrapText="1"/>
    </xf>
    <xf numFmtId="182" fontId="9" fillId="0" borderId="6" xfId="0" applyNumberFormat="1" applyFont="1" applyBorder="1" applyAlignment="1">
      <alignment horizontal="right" vertical="top" wrapText="1"/>
    </xf>
    <xf numFmtId="0" fontId="9" fillId="0" borderId="0" xfId="0" applyFont="1" applyAlignment="1">
      <alignment horizontal="right" vertical="center" wrapText="1"/>
    </xf>
    <xf numFmtId="10" fontId="9" fillId="0" borderId="0" xfId="0" applyNumberFormat="1" applyFont="1" applyAlignment="1">
      <alignment horizontal="right" vertical="top" wrapText="1"/>
    </xf>
    <xf numFmtId="37" fontId="15" fillId="0" borderId="2" xfId="0" applyNumberFormat="1" applyFont="1" applyBorder="1" applyAlignment="1">
      <alignment horizontal="right" vertical="top" wrapText="1"/>
    </xf>
    <xf numFmtId="37" fontId="15" fillId="3" borderId="2" xfId="0" applyNumberFormat="1" applyFont="1" applyFill="1" applyBorder="1" applyAlignment="1">
      <alignment horizontal="right" vertical="top"/>
    </xf>
    <xf numFmtId="164" fontId="9" fillId="0" borderId="1" xfId="0" applyNumberFormat="1" applyFont="1" applyBorder="1" applyAlignment="1">
      <alignment horizontal="right" vertical="top" wrapText="1"/>
    </xf>
    <xf numFmtId="164" fontId="9" fillId="5" borderId="1" xfId="0" applyNumberFormat="1" applyFont="1" applyFill="1" applyBorder="1" applyAlignment="1">
      <alignment horizontal="right" vertical="top" wrapText="1"/>
    </xf>
    <xf numFmtId="37" fontId="9" fillId="0" borderId="0" xfId="0" applyNumberFormat="1" applyFont="1" applyAlignment="1">
      <alignment horizontal="right" vertical="center"/>
    </xf>
    <xf numFmtId="37" fontId="9" fillId="0" borderId="0" xfId="0" applyNumberFormat="1" applyFont="1" applyAlignment="1">
      <alignment horizontal="right" vertical="top" wrapText="1"/>
    </xf>
    <xf numFmtId="0" fontId="9" fillId="5" borderId="2" xfId="0" applyFont="1" applyFill="1" applyBorder="1" applyAlignment="1">
      <alignment horizontal="right" vertical="top" wrapText="1"/>
    </xf>
    <xf numFmtId="39" fontId="18" fillId="0" borderId="2" xfId="0" applyNumberFormat="1" applyFont="1" applyBorder="1" applyAlignment="1">
      <alignment horizontal="right" vertical="top" wrapText="1"/>
    </xf>
    <xf numFmtId="39" fontId="9" fillId="3" borderId="2" xfId="0" applyNumberFormat="1" applyFont="1" applyFill="1" applyBorder="1" applyAlignment="1">
      <alignment horizontal="right" vertical="top"/>
    </xf>
    <xf numFmtId="39" fontId="9" fillId="5" borderId="2" xfId="0" applyNumberFormat="1" applyFont="1" applyFill="1" applyBorder="1" applyAlignment="1">
      <alignment horizontal="right" vertical="top" wrapText="1"/>
    </xf>
    <xf numFmtId="39" fontId="9" fillId="0" borderId="2" xfId="0" applyNumberFormat="1" applyFont="1" applyBorder="1" applyAlignment="1">
      <alignment horizontal="right" vertical="top"/>
    </xf>
    <xf numFmtId="43" fontId="9" fillId="0" borderId="2" xfId="0" applyNumberFormat="1" applyFont="1" applyBorder="1" applyAlignment="1">
      <alignment horizontal="right" vertical="top" wrapText="1"/>
    </xf>
    <xf numFmtId="43" fontId="9" fillId="5" borderId="2" xfId="0" applyNumberFormat="1" applyFont="1" applyFill="1" applyBorder="1" applyAlignment="1">
      <alignment horizontal="right" vertical="top" wrapText="1"/>
    </xf>
    <xf numFmtId="9" fontId="18" fillId="0" borderId="2" xfId="0" applyNumberFormat="1" applyFont="1" applyBorder="1" applyAlignment="1">
      <alignment horizontal="right" vertical="top" wrapText="1"/>
    </xf>
    <xf numFmtId="9" fontId="50" fillId="20" borderId="2" xfId="0" applyNumberFormat="1" applyFont="1" applyFill="1" applyBorder="1" applyAlignment="1">
      <alignment horizontal="right" vertical="top" wrapText="1"/>
    </xf>
    <xf numFmtId="164" fontId="0" fillId="0" borderId="0" xfId="0" applyNumberFormat="1" applyAlignment="1">
      <alignment horizontal="right"/>
    </xf>
    <xf numFmtId="0" fontId="9" fillId="0" borderId="0" xfId="0" applyFont="1" applyAlignment="1">
      <alignment horizontal="center" vertical="center"/>
    </xf>
    <xf numFmtId="3" fontId="9" fillId="0" borderId="0" xfId="0" applyNumberFormat="1" applyFont="1" applyAlignment="1">
      <alignment horizontal="center" vertical="center"/>
    </xf>
    <xf numFmtId="0" fontId="9" fillId="0" borderId="0" xfId="0" applyFont="1" applyAlignment="1">
      <alignment horizontal="center" vertical="top" wrapText="1"/>
    </xf>
    <xf numFmtId="164" fontId="9" fillId="0" borderId="0" xfId="0" applyNumberFormat="1" applyFont="1" applyAlignment="1">
      <alignment horizontal="center" vertical="top"/>
    </xf>
    <xf numFmtId="0" fontId="16" fillId="0" borderId="0" xfId="0" applyFont="1"/>
    <xf numFmtId="0" fontId="14" fillId="0" borderId="3" xfId="0" applyFont="1" applyBorder="1" applyAlignment="1">
      <alignment vertical="top"/>
    </xf>
    <xf numFmtId="0" fontId="14" fillId="0" borderId="3" xfId="0" applyFont="1" applyBorder="1" applyAlignment="1">
      <alignment vertical="top" wrapText="1"/>
    </xf>
    <xf numFmtId="169" fontId="14" fillId="0" borderId="3" xfId="0" applyNumberFormat="1" applyFont="1" applyBorder="1" applyAlignment="1">
      <alignment vertical="top" wrapText="1"/>
    </xf>
    <xf numFmtId="169" fontId="14" fillId="5" borderId="3" xfId="0" applyNumberFormat="1" applyFont="1" applyFill="1" applyBorder="1" applyAlignment="1">
      <alignment vertical="top" wrapText="1"/>
    </xf>
    <xf numFmtId="169" fontId="14" fillId="0" borderId="3" xfId="0" applyNumberFormat="1" applyFont="1" applyBorder="1" applyAlignment="1">
      <alignment horizontal="right" vertical="top" wrapText="1"/>
    </xf>
    <xf numFmtId="169" fontId="14" fillId="3" borderId="3" xfId="0" applyNumberFormat="1" applyFont="1" applyFill="1" applyBorder="1" applyAlignment="1">
      <alignment vertical="top"/>
    </xf>
    <xf numFmtId="170" fontId="14" fillId="0" borderId="3" xfId="0" applyNumberFormat="1" applyFont="1" applyBorder="1" applyAlignment="1">
      <alignment vertical="top"/>
    </xf>
    <xf numFmtId="170" fontId="14" fillId="0" borderId="3" xfId="0" applyNumberFormat="1" applyFont="1" applyBorder="1" applyAlignment="1">
      <alignment horizontal="right" vertical="top"/>
    </xf>
    <xf numFmtId="168" fontId="14" fillId="3" borderId="3" xfId="0" applyNumberFormat="1" applyFont="1" applyFill="1" applyBorder="1" applyAlignment="1">
      <alignment vertical="top"/>
    </xf>
    <xf numFmtId="168" fontId="14" fillId="0" borderId="3" xfId="0" applyNumberFormat="1" applyFont="1" applyBorder="1" applyAlignment="1">
      <alignment vertical="top"/>
    </xf>
    <xf numFmtId="168" fontId="14" fillId="0" borderId="3" xfId="0" applyNumberFormat="1" applyFont="1" applyBorder="1" applyAlignment="1">
      <alignment horizontal="right" vertical="top"/>
    </xf>
    <xf numFmtId="0" fontId="16" fillId="0" borderId="6" xfId="0" applyFont="1" applyBorder="1" applyAlignment="1">
      <alignment horizontal="left" vertical="top" wrapText="1"/>
    </xf>
    <xf numFmtId="9" fontId="9" fillId="0" borderId="1" xfId="0" applyNumberFormat="1" applyFont="1" applyBorder="1" applyAlignment="1">
      <alignment vertical="top" wrapText="1"/>
    </xf>
    <xf numFmtId="9" fontId="9" fillId="5" borderId="1" xfId="0" applyNumberFormat="1" applyFont="1" applyFill="1" applyBorder="1" applyAlignment="1">
      <alignment vertical="top" wrapText="1"/>
    </xf>
    <xf numFmtId="37" fontId="9" fillId="0" borderId="1" xfId="0" applyNumberFormat="1" applyFont="1" applyBorder="1" applyAlignment="1">
      <alignment vertical="top"/>
    </xf>
    <xf numFmtId="171" fontId="9" fillId="0" borderId="1" xfId="0" applyNumberFormat="1" applyFont="1" applyBorder="1" applyAlignment="1">
      <alignment vertical="top"/>
    </xf>
    <xf numFmtId="37" fontId="9" fillId="0" borderId="2" xfId="0" applyNumberFormat="1" applyFont="1" applyBorder="1" applyAlignment="1">
      <alignment horizontal="center" vertical="top" wrapText="1"/>
    </xf>
    <xf numFmtId="3" fontId="36" fillId="15" borderId="2" xfId="0" applyNumberFormat="1" applyFont="1" applyFill="1" applyBorder="1" applyAlignment="1">
      <alignment vertical="top"/>
    </xf>
    <xf numFmtId="1" fontId="9" fillId="15" borderId="2" xfId="0" quotePrefix="1" applyNumberFormat="1" applyFont="1" applyFill="1" applyBorder="1" applyAlignment="1">
      <alignment vertical="top"/>
    </xf>
    <xf numFmtId="1" fontId="9" fillId="15" borderId="2" xfId="0" applyNumberFormat="1" applyFont="1" applyFill="1" applyBorder="1" applyAlignment="1">
      <alignment vertical="top"/>
    </xf>
    <xf numFmtId="3" fontId="9" fillId="0" borderId="2" xfId="0" applyNumberFormat="1" applyFont="1" applyBorder="1" applyAlignment="1">
      <alignment horizontal="center" vertical="top" wrapText="1"/>
    </xf>
    <xf numFmtId="3" fontId="9" fillId="3" borderId="2" xfId="0" applyNumberFormat="1" applyFont="1" applyFill="1" applyBorder="1" applyAlignment="1">
      <alignment horizontal="center" vertical="top"/>
    </xf>
    <xf numFmtId="164" fontId="9" fillId="0" borderId="2" xfId="0" applyNumberFormat="1" applyFont="1" applyBorder="1" applyAlignment="1">
      <alignment horizontal="center" vertical="top" wrapText="1"/>
    </xf>
    <xf numFmtId="44" fontId="33" fillId="0" borderId="2" xfId="3" applyFont="1" applyBorder="1" applyAlignment="1">
      <alignment horizontal="right" vertical="top"/>
    </xf>
    <xf numFmtId="0" fontId="62" fillId="0" borderId="0" xfId="1" applyFont="1" applyFill="1" applyAlignment="1">
      <alignment horizontal="left" vertical="top" wrapText="1"/>
    </xf>
    <xf numFmtId="0" fontId="63" fillId="0" borderId="0" xfId="0" applyFont="1" applyAlignment="1">
      <alignment horizontal="left" vertical="top" wrapText="1"/>
    </xf>
    <xf numFmtId="164" fontId="15" fillId="21" borderId="2" xfId="0" applyNumberFormat="1" applyFont="1" applyFill="1" applyBorder="1" applyAlignment="1">
      <alignment horizontal="right" vertical="top"/>
    </xf>
    <xf numFmtId="9" fontId="9" fillId="15" borderId="2" xfId="0" applyNumberFormat="1" applyFont="1" applyFill="1" applyBorder="1" applyAlignment="1">
      <alignment vertical="top" wrapText="1"/>
    </xf>
    <xf numFmtId="168" fontId="15" fillId="18" borderId="2" xfId="0" applyNumberFormat="1" applyFont="1" applyFill="1" applyBorder="1" applyAlignment="1">
      <alignment vertical="top" wrapText="1"/>
    </xf>
    <xf numFmtId="169" fontId="15" fillId="15" borderId="2" xfId="0" applyNumberFormat="1" applyFont="1" applyFill="1" applyBorder="1" applyAlignment="1">
      <alignment vertical="top"/>
    </xf>
    <xf numFmtId="164" fontId="9" fillId="21" borderId="2" xfId="0" applyNumberFormat="1" applyFont="1" applyFill="1" applyBorder="1" applyAlignment="1">
      <alignment vertical="top"/>
    </xf>
    <xf numFmtId="3" fontId="15" fillId="21" borderId="2" xfId="0" applyNumberFormat="1" applyFont="1" applyFill="1" applyBorder="1" applyAlignment="1">
      <alignment vertical="top"/>
    </xf>
    <xf numFmtId="164" fontId="15" fillId="21" borderId="2" xfId="0" applyNumberFormat="1" applyFont="1" applyFill="1" applyBorder="1" applyAlignment="1">
      <alignment vertical="top"/>
    </xf>
    <xf numFmtId="37" fontId="33" fillId="21" borderId="2" xfId="0" applyNumberFormat="1" applyFont="1" applyFill="1" applyBorder="1" applyAlignment="1">
      <alignment vertical="top"/>
    </xf>
    <xf numFmtId="169" fontId="14" fillId="15" borderId="2" xfId="0" applyNumberFormat="1" applyFont="1" applyFill="1" applyBorder="1" applyAlignment="1">
      <alignment vertical="top"/>
    </xf>
    <xf numFmtId="169" fontId="14" fillId="15" borderId="3" xfId="0" applyNumberFormat="1" applyFont="1" applyFill="1" applyBorder="1" applyAlignment="1">
      <alignment vertical="top"/>
    </xf>
    <xf numFmtId="180" fontId="9" fillId="21" borderId="2" xfId="0" applyNumberFormat="1" applyFont="1" applyFill="1" applyBorder="1" applyAlignment="1">
      <alignment vertical="top"/>
    </xf>
    <xf numFmtId="180" fontId="9" fillId="15" borderId="2" xfId="0" applyNumberFormat="1" applyFont="1" applyFill="1" applyBorder="1" applyAlignment="1">
      <alignment vertical="top"/>
    </xf>
    <xf numFmtId="39" fontId="33" fillId="15" borderId="2" xfId="0" applyNumberFormat="1" applyFont="1" applyFill="1" applyBorder="1" applyAlignment="1">
      <alignment vertical="top"/>
    </xf>
    <xf numFmtId="0" fontId="35" fillId="0" borderId="8" xfId="0" applyFont="1" applyBorder="1" applyAlignment="1">
      <alignment horizontal="left" vertical="top" wrapText="1"/>
    </xf>
    <xf numFmtId="0" fontId="11" fillId="2" borderId="1" xfId="0" applyFont="1" applyFill="1" applyBorder="1" applyAlignment="1">
      <alignment horizontal="left" vertical="top" wrapText="1"/>
    </xf>
    <xf numFmtId="0" fontId="12" fillId="0" borderId="1" xfId="0" applyFont="1" applyBorder="1"/>
    <xf numFmtId="0" fontId="13" fillId="2" borderId="1" xfId="0" applyFont="1" applyFill="1" applyBorder="1" applyAlignment="1">
      <alignment horizontal="left" vertical="top" wrapText="1"/>
    </xf>
    <xf numFmtId="0" fontId="12" fillId="0" borderId="1" xfId="0" applyFont="1" applyBorder="1" applyAlignment="1">
      <alignment horizontal="left"/>
    </xf>
    <xf numFmtId="164" fontId="9" fillId="0" borderId="3" xfId="2" applyNumberFormat="1" applyFont="1" applyFill="1" applyBorder="1" applyAlignment="1">
      <alignment horizontal="center" vertical="center" wrapText="1"/>
    </xf>
    <xf numFmtId="164" fontId="9" fillId="0" borderId="4" xfId="2" applyNumberFormat="1" applyFont="1" applyFill="1" applyBorder="1" applyAlignment="1">
      <alignment horizontal="center" vertical="center" wrapText="1"/>
    </xf>
    <xf numFmtId="164" fontId="9" fillId="0" borderId="3" xfId="2" applyNumberFormat="1" applyFont="1" applyFill="1" applyBorder="1" applyAlignment="1">
      <alignment horizontal="center" vertical="center"/>
    </xf>
    <xf numFmtId="164" fontId="12" fillId="0" borderId="5" xfId="2" applyNumberFormat="1" applyFont="1" applyFill="1" applyBorder="1" applyAlignment="1">
      <alignment horizontal="center" vertical="center"/>
    </xf>
    <xf numFmtId="164" fontId="12" fillId="0" borderId="4" xfId="2" applyNumberFormat="1" applyFont="1" applyFill="1" applyBorder="1" applyAlignment="1">
      <alignment horizontal="center" vertical="center"/>
    </xf>
    <xf numFmtId="164" fontId="9" fillId="0" borderId="3" xfId="0" applyNumberFormat="1" applyFont="1" applyBorder="1" applyAlignment="1">
      <alignment horizontal="center" vertical="center"/>
    </xf>
    <xf numFmtId="164" fontId="9" fillId="0" borderId="5" xfId="0" applyNumberFormat="1" applyFont="1" applyBorder="1" applyAlignment="1">
      <alignment horizontal="center" vertical="center"/>
    </xf>
    <xf numFmtId="164" fontId="9" fillId="0" borderId="4" xfId="0" applyNumberFormat="1" applyFont="1" applyBorder="1" applyAlignment="1">
      <alignment horizontal="center" vertical="center"/>
    </xf>
    <xf numFmtId="37" fontId="9" fillId="0" borderId="5" xfId="0" applyNumberFormat="1" applyFont="1" applyBorder="1" applyAlignment="1">
      <alignment horizontal="center" vertical="center"/>
    </xf>
    <xf numFmtId="37" fontId="9" fillId="0" borderId="4" xfId="0" applyNumberFormat="1" applyFont="1" applyBorder="1" applyAlignment="1">
      <alignment horizontal="center" vertical="center"/>
    </xf>
    <xf numFmtId="0" fontId="16" fillId="0" borderId="17" xfId="0" applyFont="1" applyBorder="1" applyAlignment="1">
      <alignment horizontal="left" vertical="top" wrapText="1"/>
    </xf>
    <xf numFmtId="0" fontId="16" fillId="0" borderId="1" xfId="0" applyFont="1" applyBorder="1" applyAlignment="1">
      <alignment horizontal="left" vertical="top"/>
    </xf>
    <xf numFmtId="164" fontId="9" fillId="0" borderId="3" xfId="0" applyNumberFormat="1" applyFont="1" applyBorder="1" applyAlignment="1">
      <alignment horizontal="right" vertical="top"/>
    </xf>
    <xf numFmtId="0" fontId="12" fillId="0" borderId="5" xfId="0" applyFont="1" applyBorder="1" applyAlignment="1">
      <alignment horizontal="right" vertical="top"/>
    </xf>
    <xf numFmtId="0" fontId="12" fillId="0" borderId="4" xfId="0" applyFont="1" applyBorder="1" applyAlignment="1">
      <alignment horizontal="right" vertical="top"/>
    </xf>
    <xf numFmtId="1" fontId="9" fillId="0" borderId="7" xfId="0" applyNumberFormat="1" applyFont="1" applyBorder="1" applyAlignment="1">
      <alignment horizontal="right" vertical="top"/>
    </xf>
    <xf numFmtId="0" fontId="12" fillId="0" borderId="8" xfId="0" applyFont="1" applyBorder="1" applyAlignment="1">
      <alignment horizontal="right" vertical="top"/>
    </xf>
    <xf numFmtId="0" fontId="12" fillId="0" borderId="9" xfId="0" applyFont="1" applyBorder="1" applyAlignment="1">
      <alignment horizontal="right" vertical="top"/>
    </xf>
    <xf numFmtId="0" fontId="12" fillId="0" borderId="10" xfId="0" applyFont="1" applyBorder="1" applyAlignment="1">
      <alignment horizontal="right" vertical="top"/>
    </xf>
    <xf numFmtId="0" fontId="0" fillId="0" borderId="0" xfId="0" applyAlignment="1">
      <alignment horizontal="right" vertical="top"/>
    </xf>
    <xf numFmtId="0" fontId="12" fillId="0" borderId="11" xfId="0" applyFont="1" applyBorder="1" applyAlignment="1">
      <alignment horizontal="right" vertical="top"/>
    </xf>
    <xf numFmtId="0" fontId="12" fillId="0" borderId="12" xfId="0" applyFont="1" applyBorder="1" applyAlignment="1">
      <alignment horizontal="right" vertical="top"/>
    </xf>
    <xf numFmtId="0" fontId="12" fillId="0" borderId="13" xfId="0" applyFont="1" applyBorder="1" applyAlignment="1">
      <alignment horizontal="right" vertical="top"/>
    </xf>
    <xf numFmtId="0" fontId="12" fillId="0" borderId="14" xfId="0" applyFont="1" applyBorder="1" applyAlignment="1">
      <alignment horizontal="right" vertical="top"/>
    </xf>
    <xf numFmtId="164" fontId="9" fillId="0" borderId="7" xfId="0" applyNumberFormat="1" applyFont="1" applyBorder="1" applyAlignment="1">
      <alignment horizontal="right" vertical="top"/>
    </xf>
    <xf numFmtId="3" fontId="9" fillId="0" borderId="7" xfId="0" applyNumberFormat="1" applyFont="1" applyBorder="1" applyAlignment="1">
      <alignment horizontal="right" vertical="top"/>
    </xf>
    <xf numFmtId="0" fontId="12" fillId="0" borderId="1" xfId="0" applyFont="1" applyBorder="1" applyAlignment="1">
      <alignment vertical="top"/>
    </xf>
    <xf numFmtId="0" fontId="46" fillId="0" borderId="1" xfId="0" applyFont="1" applyBorder="1" applyAlignment="1">
      <alignment horizontal="left" vertical="top"/>
    </xf>
    <xf numFmtId="164" fontId="9" fillId="15" borderId="3" xfId="0" applyNumberFormat="1" applyFont="1" applyFill="1" applyBorder="1" applyAlignment="1">
      <alignment horizontal="right" vertical="top"/>
    </xf>
    <xf numFmtId="0" fontId="12" fillId="15" borderId="5" xfId="0" applyFont="1" applyFill="1" applyBorder="1" applyAlignment="1">
      <alignment horizontal="right" vertical="top"/>
    </xf>
    <xf numFmtId="0" fontId="12" fillId="15" borderId="4" xfId="0" applyFont="1" applyFill="1" applyBorder="1" applyAlignment="1">
      <alignment horizontal="right" vertical="top"/>
    </xf>
    <xf numFmtId="0" fontId="12" fillId="0" borderId="5" xfId="0" applyFont="1" applyBorder="1" applyAlignment="1">
      <alignment horizontal="center" vertical="center"/>
    </xf>
    <xf numFmtId="0" fontId="12" fillId="0" borderId="4" xfId="0" applyFont="1" applyBorder="1" applyAlignment="1">
      <alignment horizontal="center" vertical="center"/>
    </xf>
    <xf numFmtId="164" fontId="9" fillId="0" borderId="5" xfId="2" applyNumberFormat="1" applyFont="1" applyFill="1" applyBorder="1" applyAlignment="1">
      <alignment horizontal="center" vertical="center" wrapText="1"/>
    </xf>
    <xf numFmtId="164" fontId="9" fillId="0" borderId="5" xfId="2" applyNumberFormat="1" applyFont="1" applyFill="1" applyBorder="1" applyAlignment="1">
      <alignment horizontal="center" vertical="center"/>
    </xf>
    <xf numFmtId="164" fontId="9" fillId="0" borderId="4" xfId="2" applyNumberFormat="1" applyFont="1" applyFill="1" applyBorder="1" applyAlignment="1">
      <alignment horizontal="center" vertical="center"/>
    </xf>
    <xf numFmtId="0" fontId="44" fillId="0" borderId="8" xfId="0" applyFont="1" applyBorder="1" applyAlignment="1">
      <alignment horizontal="left" vertical="top" wrapText="1"/>
    </xf>
    <xf numFmtId="0" fontId="16" fillId="23" borderId="31" xfId="0" applyFont="1" applyFill="1" applyBorder="1" applyAlignment="1">
      <alignment horizontal="left" vertical="top" wrapText="1"/>
    </xf>
    <xf numFmtId="0" fontId="16" fillId="23" borderId="0" xfId="0" applyFont="1" applyFill="1" applyAlignment="1">
      <alignment horizontal="left" vertical="top" wrapText="1"/>
    </xf>
    <xf numFmtId="0" fontId="35" fillId="0" borderId="1" xfId="0" applyFont="1" applyBorder="1" applyAlignment="1">
      <alignment horizontal="left" vertical="top" wrapText="1"/>
    </xf>
    <xf numFmtId="0" fontId="39" fillId="0" borderId="1" xfId="0" applyFont="1" applyBorder="1"/>
    <xf numFmtId="0" fontId="39" fillId="0" borderId="1" xfId="0" applyFont="1" applyBorder="1" applyAlignment="1">
      <alignment horizontal="left"/>
    </xf>
    <xf numFmtId="0" fontId="9" fillId="0" borderId="7" xfId="0" applyFont="1" applyBorder="1" applyAlignment="1">
      <alignment horizontal="center" vertical="center" wrapText="1"/>
    </xf>
    <xf numFmtId="0" fontId="12" fillId="0" borderId="9" xfId="0" applyFont="1" applyBorder="1"/>
    <xf numFmtId="0" fontId="12" fillId="0" borderId="10" xfId="0" applyFont="1" applyBorder="1"/>
    <xf numFmtId="0" fontId="12" fillId="0" borderId="11" xfId="0" applyFont="1" applyBorder="1"/>
    <xf numFmtId="0" fontId="12" fillId="0" borderId="12" xfId="0" applyFont="1" applyBorder="1"/>
    <xf numFmtId="0" fontId="12" fillId="0" borderId="14" xfId="0" applyFont="1" applyBorder="1"/>
    <xf numFmtId="0" fontId="9" fillId="0" borderId="7" xfId="0" applyFont="1" applyBorder="1" applyAlignment="1">
      <alignment horizontal="center" vertical="top" wrapText="1"/>
    </xf>
    <xf numFmtId="39" fontId="9" fillId="0" borderId="3" xfId="0" applyNumberFormat="1" applyFont="1" applyBorder="1" applyAlignment="1">
      <alignment horizontal="right" vertical="center" wrapText="1"/>
    </xf>
    <xf numFmtId="0" fontId="46" fillId="0" borderId="5" xfId="0" applyFont="1" applyBorder="1" applyAlignment="1">
      <alignment horizontal="right"/>
    </xf>
    <xf numFmtId="0" fontId="46" fillId="0" borderId="4" xfId="0" applyFont="1" applyBorder="1" applyAlignment="1">
      <alignment horizontal="right"/>
    </xf>
    <xf numFmtId="43" fontId="9" fillId="5" borderId="3" xfId="0" applyNumberFormat="1" applyFont="1" applyFill="1" applyBorder="1" applyAlignment="1">
      <alignment horizontal="right" vertical="center"/>
    </xf>
    <xf numFmtId="37" fontId="9" fillId="0" borderId="3" xfId="0" applyNumberFormat="1" applyFont="1" applyBorder="1" applyAlignment="1">
      <alignment horizontal="right" vertical="center"/>
    </xf>
    <xf numFmtId="3" fontId="9" fillId="0" borderId="3" xfId="0" applyNumberFormat="1" applyFont="1" applyBorder="1" applyAlignment="1">
      <alignment horizontal="right" vertical="center"/>
    </xf>
    <xf numFmtId="3" fontId="9" fillId="0" borderId="4" xfId="0" applyNumberFormat="1" applyFont="1" applyBorder="1" applyAlignment="1">
      <alignment horizontal="right" vertical="center"/>
    </xf>
    <xf numFmtId="0" fontId="48" fillId="0" borderId="5" xfId="0" applyFont="1" applyBorder="1" applyAlignment="1">
      <alignment horizontal="right"/>
    </xf>
    <xf numFmtId="0" fontId="48" fillId="0" borderId="4" xfId="0" applyFont="1" applyBorder="1" applyAlignment="1">
      <alignment horizontal="right"/>
    </xf>
    <xf numFmtId="164" fontId="9" fillId="0" borderId="3" xfId="0" applyNumberFormat="1" applyFont="1" applyBorder="1" applyAlignment="1">
      <alignment horizontal="right" vertical="center"/>
    </xf>
    <xf numFmtId="39" fontId="9" fillId="0" borderId="3" xfId="0" applyNumberFormat="1" applyFont="1" applyBorder="1" applyAlignment="1">
      <alignment horizontal="center" vertical="center" wrapText="1"/>
    </xf>
    <xf numFmtId="39" fontId="9" fillId="0" borderId="5" xfId="0" applyNumberFormat="1" applyFont="1" applyBorder="1" applyAlignment="1">
      <alignment horizontal="center" vertical="center" wrapText="1"/>
    </xf>
    <xf numFmtId="39" fontId="9" fillId="0" borderId="4" xfId="0" applyNumberFormat="1" applyFont="1" applyBorder="1" applyAlignment="1">
      <alignment horizontal="center" vertical="center" wrapText="1"/>
    </xf>
    <xf numFmtId="0" fontId="47" fillId="0" borderId="1" xfId="0" applyFont="1" applyBorder="1"/>
    <xf numFmtId="3" fontId="9" fillId="0" borderId="3" xfId="0" applyNumberFormat="1" applyFont="1" applyBorder="1" applyAlignment="1">
      <alignment horizontal="center" vertical="center"/>
    </xf>
    <xf numFmtId="0" fontId="46" fillId="0" borderId="4" xfId="0" applyFont="1" applyBorder="1" applyAlignment="1">
      <alignment horizontal="center"/>
    </xf>
    <xf numFmtId="3" fontId="9" fillId="0" borderId="4" xfId="0" applyNumberFormat="1" applyFont="1" applyBorder="1" applyAlignment="1">
      <alignment horizontal="center" vertical="center"/>
    </xf>
    <xf numFmtId="0" fontId="48" fillId="0" borderId="4" xfId="0" applyFont="1" applyBorder="1" applyAlignment="1">
      <alignment horizontal="center"/>
    </xf>
    <xf numFmtId="0" fontId="46" fillId="0" borderId="5" xfId="0" applyFont="1" applyBorder="1" applyAlignment="1">
      <alignment horizontal="center"/>
    </xf>
    <xf numFmtId="37" fontId="9" fillId="0" borderId="3" xfId="0" applyNumberFormat="1" applyFont="1" applyBorder="1" applyAlignment="1">
      <alignment horizontal="center" vertical="center"/>
    </xf>
    <xf numFmtId="3" fontId="33" fillId="0" borderId="3" xfId="0" applyNumberFormat="1" applyFont="1" applyBorder="1" applyAlignment="1">
      <alignment horizontal="center" vertical="center"/>
    </xf>
    <xf numFmtId="3" fontId="33" fillId="0" borderId="5" xfId="0" applyNumberFormat="1" applyFont="1" applyBorder="1" applyAlignment="1">
      <alignment horizontal="center" vertical="center"/>
    </xf>
    <xf numFmtId="3" fontId="33" fillId="0" borderId="4" xfId="0" applyNumberFormat="1" applyFont="1" applyBorder="1" applyAlignment="1">
      <alignment horizontal="center" vertical="center"/>
    </xf>
    <xf numFmtId="3" fontId="9" fillId="0" borderId="5" xfId="0" applyNumberFormat="1" applyFont="1" applyBorder="1" applyAlignment="1">
      <alignment horizontal="center" vertical="center"/>
    </xf>
    <xf numFmtId="168" fontId="9" fillId="0" borderId="3" xfId="0" applyNumberFormat="1" applyFont="1" applyBorder="1" applyAlignment="1">
      <alignment horizontal="center" vertical="center"/>
    </xf>
    <xf numFmtId="0" fontId="46" fillId="0" borderId="5" xfId="0" applyFont="1" applyBorder="1"/>
    <xf numFmtId="0" fontId="46" fillId="0" borderId="4" xfId="0" applyFont="1" applyBorder="1"/>
    <xf numFmtId="164" fontId="9" fillId="0" borderId="7" xfId="0" applyNumberFormat="1" applyFont="1" applyBorder="1" applyAlignment="1">
      <alignment horizontal="center" vertical="center" wrapText="1"/>
    </xf>
    <xf numFmtId="0" fontId="46" fillId="0" borderId="9" xfId="0" applyFont="1" applyBorder="1"/>
    <xf numFmtId="0" fontId="46" fillId="0" borderId="10" xfId="0" applyFont="1" applyBorder="1"/>
    <xf numFmtId="0" fontId="46" fillId="0" borderId="11" xfId="0" applyFont="1" applyBorder="1"/>
    <xf numFmtId="0" fontId="46" fillId="0" borderId="12" xfId="0" applyFont="1" applyBorder="1"/>
    <xf numFmtId="0" fontId="46" fillId="0" borderId="14" xfId="0" applyFont="1" applyBorder="1"/>
    <xf numFmtId="0" fontId="46" fillId="0" borderId="1" xfId="0" applyFont="1" applyBorder="1" applyAlignment="1">
      <alignment horizontal="left"/>
    </xf>
    <xf numFmtId="37" fontId="9" fillId="5" borderId="3" xfId="0" applyNumberFormat="1" applyFont="1" applyFill="1" applyBorder="1" applyAlignment="1">
      <alignment horizontal="center" vertical="top" wrapText="1"/>
    </xf>
    <xf numFmtId="37" fontId="9" fillId="0" borderId="3" xfId="0" applyNumberFormat="1" applyFont="1" applyBorder="1" applyAlignment="1">
      <alignment horizontal="center" vertical="center" wrapText="1"/>
    </xf>
    <xf numFmtId="43" fontId="9" fillId="0" borderId="3" xfId="2" applyFont="1" applyBorder="1" applyAlignment="1">
      <alignment horizontal="center" vertical="center" wrapText="1"/>
    </xf>
    <xf numFmtId="43" fontId="46" fillId="0" borderId="5" xfId="2" applyFont="1" applyBorder="1" applyAlignment="1"/>
    <xf numFmtId="43" fontId="46" fillId="0" borderId="4" xfId="2" applyFont="1" applyBorder="1" applyAlignment="1"/>
    <xf numFmtId="43" fontId="9" fillId="0" borderId="3" xfId="2" applyFont="1" applyFill="1" applyBorder="1" applyAlignment="1">
      <alignment horizontal="center" vertical="center" wrapText="1"/>
    </xf>
    <xf numFmtId="43" fontId="46" fillId="0" borderId="5" xfId="2" applyFont="1" applyFill="1" applyBorder="1" applyAlignment="1">
      <alignment horizontal="center"/>
    </xf>
    <xf numFmtId="43" fontId="46" fillId="0" borderId="4" xfId="2" applyFont="1" applyFill="1" applyBorder="1" applyAlignment="1">
      <alignment horizontal="center"/>
    </xf>
    <xf numFmtId="0" fontId="16" fillId="0" borderId="1" xfId="0" applyFont="1" applyBorder="1" applyAlignment="1">
      <alignment horizontal="left" vertical="top" wrapText="1"/>
    </xf>
    <xf numFmtId="9" fontId="9" fillId="0" borderId="3"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164" fontId="33" fillId="0" borderId="3" xfId="0" applyNumberFormat="1" applyFont="1" applyBorder="1" applyAlignment="1">
      <alignment horizontal="center" vertical="center" wrapText="1"/>
    </xf>
    <xf numFmtId="164" fontId="33" fillId="0" borderId="5" xfId="0" applyNumberFormat="1" applyFont="1" applyBorder="1" applyAlignment="1">
      <alignment horizontal="center" vertical="center" wrapText="1"/>
    </xf>
    <xf numFmtId="164" fontId="33" fillId="0" borderId="4" xfId="0" applyNumberFormat="1" applyFont="1" applyBorder="1" applyAlignment="1">
      <alignment horizontal="center" vertical="center" wrapText="1"/>
    </xf>
    <xf numFmtId="0" fontId="35" fillId="6" borderId="8" xfId="0" applyFont="1" applyFill="1" applyBorder="1" applyAlignment="1">
      <alignment horizontal="left" vertical="top" wrapText="1"/>
    </xf>
    <xf numFmtId="43" fontId="9" fillId="15" borderId="3" xfId="2" applyFont="1" applyFill="1" applyBorder="1" applyAlignment="1">
      <alignment horizontal="center" vertical="center" wrapText="1"/>
    </xf>
    <xf numFmtId="43" fontId="46" fillId="15" borderId="5" xfId="2" applyFont="1" applyFill="1" applyBorder="1" applyAlignment="1"/>
    <xf numFmtId="43" fontId="46" fillId="15" borderId="4" xfId="2" applyFont="1" applyFill="1" applyBorder="1" applyAlignment="1"/>
    <xf numFmtId="164" fontId="9" fillId="0" borderId="7" xfId="0" applyNumberFormat="1" applyFont="1" applyBorder="1" applyAlignment="1">
      <alignment horizontal="center" vertical="top"/>
    </xf>
    <xf numFmtId="164" fontId="9" fillId="3" borderId="3" xfId="0" applyNumberFormat="1" applyFont="1" applyFill="1" applyBorder="1" applyAlignment="1">
      <alignment horizontal="center" vertical="center" wrapText="1"/>
    </xf>
    <xf numFmtId="0" fontId="46" fillId="0" borderId="5" xfId="0" applyFont="1" applyBorder="1" applyAlignment="1">
      <alignment vertical="center"/>
    </xf>
    <xf numFmtId="0" fontId="46" fillId="0" borderId="4" xfId="0" applyFont="1" applyBorder="1" applyAlignment="1">
      <alignment vertical="center"/>
    </xf>
    <xf numFmtId="164" fontId="15" fillId="0" borderId="3" xfId="0" applyNumberFormat="1" applyFont="1" applyBorder="1" applyAlignment="1">
      <alignment horizontal="center" vertical="top" wrapText="1"/>
    </xf>
    <xf numFmtId="164" fontId="9" fillId="0" borderId="3" xfId="0" applyNumberFormat="1" applyFont="1" applyBorder="1" applyAlignment="1">
      <alignment horizontal="center" vertical="center" wrapText="1"/>
    </xf>
    <xf numFmtId="164" fontId="9" fillId="3" borderId="3" xfId="0" applyNumberFormat="1" applyFont="1" applyFill="1" applyBorder="1" applyAlignment="1">
      <alignment horizontal="center" vertical="center"/>
    </xf>
    <xf numFmtId="3" fontId="9" fillId="3" borderId="3" xfId="0" applyNumberFormat="1" applyFont="1" applyFill="1" applyBorder="1" applyAlignment="1">
      <alignment horizontal="center" vertical="center"/>
    </xf>
    <xf numFmtId="0" fontId="12" fillId="0" borderId="5" xfId="0" applyFont="1" applyBorder="1"/>
    <xf numFmtId="0" fontId="12" fillId="0" borderId="4" xfId="0" applyFont="1" applyBorder="1"/>
    <xf numFmtId="173" fontId="33" fillId="0" borderId="3" xfId="0" applyNumberFormat="1" applyFont="1" applyBorder="1" applyAlignment="1">
      <alignment horizontal="center" vertical="center"/>
    </xf>
    <xf numFmtId="0" fontId="16" fillId="0" borderId="8" xfId="0" applyFont="1" applyBorder="1" applyAlignment="1">
      <alignment horizontal="left" vertical="top" wrapText="1"/>
    </xf>
    <xf numFmtId="0" fontId="35" fillId="0" borderId="0" xfId="0" applyFont="1" applyAlignment="1">
      <alignment horizontal="left" vertical="top" wrapText="1"/>
    </xf>
    <xf numFmtId="3" fontId="33" fillId="0" borderId="3" xfId="0" applyNumberFormat="1" applyFont="1" applyBorder="1" applyAlignment="1">
      <alignment horizontal="center" vertical="center" wrapText="1"/>
    </xf>
    <xf numFmtId="164" fontId="9" fillId="0" borderId="3" xfId="0" applyNumberFormat="1" applyFont="1" applyBorder="1" applyAlignment="1">
      <alignment horizontal="center" vertical="top"/>
    </xf>
    <xf numFmtId="0" fontId="12" fillId="0" borderId="8" xfId="0" applyFont="1" applyBorder="1"/>
    <xf numFmtId="0" fontId="0" fillId="0" borderId="0" xfId="0"/>
    <xf numFmtId="0" fontId="12" fillId="0" borderId="13" xfId="0" applyFont="1" applyBorder="1"/>
    <xf numFmtId="167" fontId="33" fillId="0" borderId="3" xfId="0" applyNumberFormat="1" applyFont="1" applyBorder="1" applyAlignment="1">
      <alignment horizontal="center" vertical="center"/>
    </xf>
    <xf numFmtId="167" fontId="33" fillId="0" borderId="3" xfId="0" applyNumberFormat="1" applyFont="1" applyBorder="1" applyAlignment="1">
      <alignment horizontal="center" vertical="top"/>
    </xf>
    <xf numFmtId="167" fontId="33" fillId="15" borderId="21" xfId="0" applyNumberFormat="1" applyFont="1" applyFill="1" applyBorder="1" applyAlignment="1">
      <alignment horizontal="center" vertical="top" wrapText="1"/>
    </xf>
    <xf numFmtId="167" fontId="33" fillId="15" borderId="21" xfId="0" applyNumberFormat="1" applyFont="1" applyFill="1" applyBorder="1" applyAlignment="1">
      <alignment horizontal="center" vertical="center" wrapText="1"/>
    </xf>
    <xf numFmtId="0" fontId="60" fillId="0" borderId="1" xfId="0" applyFont="1" applyBorder="1"/>
    <xf numFmtId="0" fontId="59" fillId="2" borderId="28" xfId="0" applyFont="1" applyFill="1" applyBorder="1" applyAlignment="1">
      <alignment horizontal="center" vertical="top" wrapText="1"/>
    </xf>
    <xf numFmtId="0" fontId="59" fillId="2" borderId="29" xfId="0" applyFont="1" applyFill="1" applyBorder="1" applyAlignment="1">
      <alignment horizontal="center" vertical="top" wrapText="1"/>
    </xf>
    <xf numFmtId="0" fontId="59" fillId="2" borderId="30" xfId="0" applyFont="1" applyFill="1" applyBorder="1" applyAlignment="1">
      <alignment horizontal="center" vertical="top" wrapText="1"/>
    </xf>
    <xf numFmtId="167" fontId="33" fillId="15" borderId="20" xfId="0" applyNumberFormat="1" applyFont="1" applyFill="1" applyBorder="1" applyAlignment="1">
      <alignment horizontal="center" vertical="top" wrapText="1"/>
    </xf>
    <xf numFmtId="37" fontId="9" fillId="0" borderId="7" xfId="0" applyNumberFormat="1" applyFont="1" applyBorder="1" applyAlignment="1">
      <alignment horizontal="center" vertical="center" wrapText="1"/>
    </xf>
    <xf numFmtId="37" fontId="9" fillId="0" borderId="8" xfId="0" applyNumberFormat="1" applyFont="1" applyBorder="1" applyAlignment="1">
      <alignment horizontal="center" vertical="center" wrapText="1"/>
    </xf>
    <xf numFmtId="37" fontId="9" fillId="0" borderId="9" xfId="0" applyNumberFormat="1" applyFont="1" applyBorder="1" applyAlignment="1">
      <alignment horizontal="center" vertical="center" wrapText="1"/>
    </xf>
    <xf numFmtId="37" fontId="9" fillId="0" borderId="10" xfId="0" applyNumberFormat="1" applyFont="1" applyBorder="1" applyAlignment="1">
      <alignment horizontal="center" vertical="center" wrapText="1"/>
    </xf>
    <xf numFmtId="37" fontId="9" fillId="0" borderId="1" xfId="0" applyNumberFormat="1" applyFont="1" applyBorder="1" applyAlignment="1">
      <alignment horizontal="center" vertical="center" wrapText="1"/>
    </xf>
    <xf numFmtId="37" fontId="9" fillId="0" borderId="11" xfId="0" applyNumberFormat="1" applyFont="1" applyBorder="1" applyAlignment="1">
      <alignment horizontal="center" vertical="center" wrapText="1"/>
    </xf>
    <xf numFmtId="37" fontId="9" fillId="0" borderId="12" xfId="0" applyNumberFormat="1" applyFont="1" applyBorder="1" applyAlignment="1">
      <alignment horizontal="center" vertical="center" wrapText="1"/>
    </xf>
    <xf numFmtId="37" fontId="9" fillId="0" borderId="13" xfId="0" applyNumberFormat="1" applyFont="1" applyBorder="1" applyAlignment="1">
      <alignment horizontal="center" vertical="center" wrapText="1"/>
    </xf>
    <xf numFmtId="37" fontId="9" fillId="0" borderId="14" xfId="0" applyNumberFormat="1" applyFont="1" applyBorder="1" applyAlignment="1">
      <alignment horizontal="center" vertical="center" wrapText="1"/>
    </xf>
    <xf numFmtId="167" fontId="33" fillId="0" borderId="3" xfId="0" applyNumberFormat="1" applyFont="1" applyBorder="1" applyAlignment="1">
      <alignment horizontal="center" vertical="center" wrapText="1"/>
    </xf>
    <xf numFmtId="0" fontId="12" fillId="0" borderId="4" xfId="0" applyFont="1" applyBorder="1" applyAlignment="1">
      <alignment wrapText="1"/>
    </xf>
    <xf numFmtId="0" fontId="5" fillId="0" borderId="5" xfId="0" applyFont="1" applyBorder="1"/>
    <xf numFmtId="0" fontId="5" fillId="0" borderId="4" xfId="0" applyFont="1" applyBorder="1"/>
  </cellXfs>
  <cellStyles count="9">
    <cellStyle name="Comma" xfId="2" builtinId="3"/>
    <cellStyle name="Comma 2" xfId="6" xr:uid="{B23C4787-3C11-0247-8335-5D005B46B110}"/>
    <cellStyle name="Currency" xfId="3" builtinId="4"/>
    <cellStyle name="Hyperlink" xfId="1" builtinId="8"/>
    <cellStyle name="Millares 2" xfId="8" xr:uid="{ED6D754F-83C0-1A40-9A9C-379E627DE67C}"/>
    <cellStyle name="Normal" xfId="0" builtinId="0"/>
    <cellStyle name="Normal 2" xfId="5" xr:uid="{A3B61111-3790-EA41-B602-A3F925AAD24B}"/>
    <cellStyle name="Percent" xfId="4" builtinId="5"/>
    <cellStyle name="Percent 2" xfId="7" xr:uid="{F798A72C-2235-8B43-96C6-F9BC256C4837}"/>
  </cellStyles>
  <dxfs count="9">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E06666"/>
          <bgColor rgb="FFE06666"/>
        </patternFill>
      </fill>
    </dxf>
    <dxf>
      <fill>
        <patternFill patternType="solid">
          <fgColor rgb="FFF4C7C3"/>
          <bgColor rgb="FFF4C7C3"/>
        </patternFill>
      </fill>
    </dxf>
  </dxfs>
  <tableStyles count="0" defaultTableStyle="TableStyleMedium2" defaultPivotStyle="PivotStyleLight16"/>
  <colors>
    <mruColors>
      <color rgb="FFFF2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5E87-CD46-8CD3-A7A3370C69B0}"/>
              </c:ext>
            </c:extLst>
          </c:dPt>
          <c:dPt>
            <c:idx val="1"/>
            <c:bubble3D val="0"/>
            <c:spPr>
              <a:solidFill>
                <a:schemeClr val="accent2"/>
              </a:solidFill>
            </c:spPr>
            <c:extLst>
              <c:ext xmlns:c16="http://schemas.microsoft.com/office/drawing/2014/chart" uri="{C3380CC4-5D6E-409C-BE32-E72D297353CC}">
                <c16:uniqueId val="{00000003-5E87-CD46-8CD3-A7A3370C69B0}"/>
              </c:ext>
            </c:extLst>
          </c:dPt>
          <c:dPt>
            <c:idx val="2"/>
            <c:bubble3D val="0"/>
            <c:spPr>
              <a:solidFill>
                <a:schemeClr val="accent3"/>
              </a:solidFill>
            </c:spPr>
            <c:extLst>
              <c:ext xmlns:c16="http://schemas.microsoft.com/office/drawing/2014/chart" uri="{C3380CC4-5D6E-409C-BE32-E72D297353CC}">
                <c16:uniqueId val="{00000005-5E87-CD46-8CD3-A7A3370C69B0}"/>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Workforce!$C$101:$C$103</c:f>
              <c:strCache>
                <c:ptCount val="3"/>
                <c:pt idx="0">
                  <c:v>Total new hires in the Municipality of the mine</c:v>
                </c:pt>
                <c:pt idx="1">
                  <c:v>Total new hires in the State of the mine</c:v>
                </c:pt>
                <c:pt idx="2">
                  <c:v>Total new hires in the rest of the country</c:v>
                </c:pt>
              </c:strCache>
            </c:strRef>
          </c:cat>
          <c:val>
            <c:numRef>
              <c:f>Workforce!$R$101:$R$103</c:f>
              <c:numCache>
                <c:formatCode>_(* #,##0_);_(* \(#,##0\);_(* "-"??_);_(@_)</c:formatCode>
                <c:ptCount val="3"/>
                <c:pt idx="0">
                  <c:v>88</c:v>
                </c:pt>
                <c:pt idx="1">
                  <c:v>76</c:v>
                </c:pt>
                <c:pt idx="2">
                  <c:v>206</c:v>
                </c:pt>
              </c:numCache>
            </c:numRef>
          </c:val>
          <c:extLst>
            <c:ext xmlns:c16="http://schemas.microsoft.com/office/drawing/2014/chart" uri="{C3380CC4-5D6E-409C-BE32-E72D297353CC}">
              <c16:uniqueId val="{00000006-5E87-CD46-8CD3-A7A3370C69B0}"/>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600" b="0" i="0">
                <a:solidFill>
                  <a:srgbClr val="757575"/>
                </a:solidFill>
                <a:latin typeface="+mn-lt"/>
              </a:defRPr>
            </a:pPr>
            <a:r>
              <a:rPr lang="en-CA" sz="1600" b="0" i="0">
                <a:solidFill>
                  <a:srgbClr val="757575"/>
                </a:solidFill>
                <a:latin typeface="+mn-lt"/>
              </a:rPr>
              <a:t>New hires</a:t>
            </a:r>
          </a:p>
        </c:rich>
      </c:tx>
      <c:overlay val="0"/>
    </c:title>
    <c:autoTitleDeleted val="0"/>
    <c:plotArea>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E68C-2947-B6BC-75550CD2ADB0}"/>
              </c:ext>
            </c:extLst>
          </c:dPt>
          <c:dPt>
            <c:idx val="1"/>
            <c:bubble3D val="0"/>
            <c:spPr>
              <a:solidFill>
                <a:schemeClr val="accent2"/>
              </a:solidFill>
            </c:spPr>
            <c:extLst>
              <c:ext xmlns:c16="http://schemas.microsoft.com/office/drawing/2014/chart" uri="{C3380CC4-5D6E-409C-BE32-E72D297353CC}">
                <c16:uniqueId val="{00000003-E68C-2947-B6BC-75550CD2ADB0}"/>
              </c:ext>
            </c:extLst>
          </c:dPt>
          <c:dPt>
            <c:idx val="2"/>
            <c:bubble3D val="0"/>
            <c:spPr>
              <a:solidFill>
                <a:schemeClr val="accent3"/>
              </a:solidFill>
            </c:spPr>
            <c:extLst>
              <c:ext xmlns:c16="http://schemas.microsoft.com/office/drawing/2014/chart" uri="{C3380CC4-5D6E-409C-BE32-E72D297353CC}">
                <c16:uniqueId val="{00000005-E68C-2947-B6BC-75550CD2ADB0}"/>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Workforce!$C$101:$C$103</c:f>
              <c:strCache>
                <c:ptCount val="3"/>
                <c:pt idx="0">
                  <c:v>Total new hires in the Municipality of the mine</c:v>
                </c:pt>
                <c:pt idx="1">
                  <c:v>Total new hires in the State of the mine</c:v>
                </c:pt>
                <c:pt idx="2">
                  <c:v>Total new hires in the rest of the country</c:v>
                </c:pt>
              </c:strCache>
            </c:strRef>
          </c:cat>
          <c:val>
            <c:numRef>
              <c:f>Workforce!$R$101:$R$103</c:f>
              <c:numCache>
                <c:formatCode>_(* #,##0_);_(* \(#,##0\);_(* "-"??_);_(@_)</c:formatCode>
                <c:ptCount val="3"/>
                <c:pt idx="0">
                  <c:v>88</c:v>
                </c:pt>
                <c:pt idx="1">
                  <c:v>76</c:v>
                </c:pt>
                <c:pt idx="2">
                  <c:v>206</c:v>
                </c:pt>
              </c:numCache>
            </c:numRef>
          </c:val>
          <c:extLst>
            <c:ext xmlns:c16="http://schemas.microsoft.com/office/drawing/2014/chart" uri="{C3380CC4-5D6E-409C-BE32-E72D297353CC}">
              <c16:uniqueId val="{00000006-E68C-2947-B6BC-75550CD2ADB0}"/>
            </c:ext>
          </c:extLst>
        </c:ser>
        <c:dLbls>
          <c:showLegendKey val="0"/>
          <c:showVal val="0"/>
          <c:showCatName val="0"/>
          <c:showSerName val="0"/>
          <c:showPercent val="0"/>
          <c:showBubbleSize val="0"/>
          <c:showLeaderLines val="1"/>
        </c:dLbls>
        <c:firstSliceAng val="0"/>
        <c:holeSize val="64"/>
      </c:doughnutChart>
    </c:plotArea>
    <c:legend>
      <c:legendPos val="r"/>
      <c:overlay val="0"/>
      <c:txPr>
        <a:bodyPr/>
        <a:lstStyle/>
        <a:p>
          <a:pPr lvl="0">
            <a:defRPr sz="12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377F-454D-BFDF-AD062646C5E4}"/>
              </c:ext>
            </c:extLst>
          </c:dPt>
          <c:dPt>
            <c:idx val="1"/>
            <c:bubble3D val="0"/>
            <c:spPr>
              <a:solidFill>
                <a:schemeClr val="accent2"/>
              </a:solidFill>
            </c:spPr>
            <c:extLst>
              <c:ext xmlns:c16="http://schemas.microsoft.com/office/drawing/2014/chart" uri="{C3380CC4-5D6E-409C-BE32-E72D297353CC}">
                <c16:uniqueId val="{00000003-377F-454D-BFDF-AD062646C5E4}"/>
              </c:ext>
            </c:extLst>
          </c:dPt>
          <c:dPt>
            <c:idx val="2"/>
            <c:bubble3D val="0"/>
            <c:spPr>
              <a:solidFill>
                <a:schemeClr val="accent3"/>
              </a:solidFill>
            </c:spPr>
            <c:extLst>
              <c:ext xmlns:c16="http://schemas.microsoft.com/office/drawing/2014/chart" uri="{C3380CC4-5D6E-409C-BE32-E72D297353CC}">
                <c16:uniqueId val="{00000005-377F-454D-BFDF-AD062646C5E4}"/>
              </c:ext>
            </c:extLst>
          </c:dPt>
          <c:dPt>
            <c:idx val="3"/>
            <c:bubble3D val="0"/>
            <c:spPr>
              <a:solidFill>
                <a:schemeClr val="accent4"/>
              </a:solidFill>
            </c:spPr>
            <c:extLst>
              <c:ext xmlns:c16="http://schemas.microsoft.com/office/drawing/2014/chart" uri="{C3380CC4-5D6E-409C-BE32-E72D297353CC}">
                <c16:uniqueId val="{00000007-377F-454D-BFDF-AD062646C5E4}"/>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'Workforce-backup14mar'!$F$53:$F$56</c:f>
              <c:strCache>
                <c:ptCount val="4"/>
                <c:pt idx="0">
                  <c:v>% of Local Hires (municipality) </c:v>
                </c:pt>
                <c:pt idx="1">
                  <c:v>% of Local Hires (state) </c:v>
                </c:pt>
                <c:pt idx="2">
                  <c:v>% of Regional Hires (within the country) </c:v>
                </c:pt>
                <c:pt idx="3">
                  <c:v>% of International hires</c:v>
                </c:pt>
              </c:strCache>
            </c:strRef>
          </c:cat>
          <c:val>
            <c:numRef>
              <c:f>'Workforce-backup14mar'!$AB$53:$AB$56</c:f>
              <c:numCache>
                <c:formatCode>0%</c:formatCode>
                <c:ptCount val="4"/>
                <c:pt idx="0">
                  <c:v>0.53917765709852594</c:v>
                </c:pt>
                <c:pt idx="1">
                  <c:v>0.19394879751745539</c:v>
                </c:pt>
                <c:pt idx="2">
                  <c:v>0.25058184639255238</c:v>
                </c:pt>
                <c:pt idx="3">
                  <c:v>1.6291698991466253E-2</c:v>
                </c:pt>
              </c:numCache>
            </c:numRef>
          </c:val>
          <c:extLst>
            <c:ext xmlns:c16="http://schemas.microsoft.com/office/drawing/2014/chart" uri="{C3380CC4-5D6E-409C-BE32-E72D297353CC}">
              <c16:uniqueId val="{00000008-377F-454D-BFDF-AD062646C5E4}"/>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0</xdr:col>
      <xdr:colOff>295275</xdr:colOff>
      <xdr:row>0</xdr:row>
      <xdr:rowOff>0</xdr:rowOff>
    </xdr:from>
    <xdr:ext cx="2219325"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253999</xdr:colOff>
      <xdr:row>0</xdr:row>
      <xdr:rowOff>12700</xdr:rowOff>
    </xdr:from>
    <xdr:ext cx="2074333" cy="706967"/>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253999" y="12700"/>
          <a:ext cx="2074333" cy="706967"/>
        </a:xfrm>
        <a:prstGeom prst="rect">
          <a:avLst/>
        </a:prstGeom>
        <a:noFill/>
      </xdr:spPr>
    </xdr:pic>
    <xdr:clientData fLocksWithSheet="0"/>
  </xdr:oneCellAnchor>
  <xdr:oneCellAnchor>
    <xdr:from>
      <xdr:col>0</xdr:col>
      <xdr:colOff>295275</xdr:colOff>
      <xdr:row>0</xdr:row>
      <xdr:rowOff>0</xdr:rowOff>
    </xdr:from>
    <xdr:ext cx="2219325" cy="752475"/>
    <xdr:pic>
      <xdr:nvPicPr>
        <xdr:cNvPr id="3" name="image1.png">
          <a:extLst>
            <a:ext uri="{FF2B5EF4-FFF2-40B4-BE49-F238E27FC236}">
              <a16:creationId xmlns:a16="http://schemas.microsoft.com/office/drawing/2014/main" id="{EBDD1327-2733-8543-8480-E6B4E74706CD}"/>
            </a:ext>
          </a:extLst>
        </xdr:cNvPr>
        <xdr:cNvPicPr preferRelativeResize="0"/>
      </xdr:nvPicPr>
      <xdr:blipFill>
        <a:blip xmlns:r="http://schemas.openxmlformats.org/officeDocument/2006/relationships" r:embed="rId1" cstate="print"/>
        <a:stretch>
          <a:fillRect/>
        </a:stretch>
      </xdr:blipFill>
      <xdr:spPr>
        <a:xfrm>
          <a:off x="295275" y="0"/>
          <a:ext cx="2219325" cy="7524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981200" cy="685800"/>
    <xdr:pic>
      <xdr:nvPicPr>
        <xdr:cNvPr id="2" name="image1.png">
          <a:extLst>
            <a:ext uri="{FF2B5EF4-FFF2-40B4-BE49-F238E27FC236}">
              <a16:creationId xmlns:a16="http://schemas.microsoft.com/office/drawing/2014/main" id="{3D3A4163-F0C1-A042-8D0C-14AFE586F1D5}"/>
            </a:ext>
          </a:extLst>
        </xdr:cNvPr>
        <xdr:cNvPicPr preferRelativeResize="0"/>
      </xdr:nvPicPr>
      <xdr:blipFill>
        <a:blip xmlns:r="http://schemas.openxmlformats.org/officeDocument/2006/relationships" r:embed="rId1" cstate="print"/>
        <a:stretch>
          <a:fillRect/>
        </a:stretch>
      </xdr:blipFill>
      <xdr:spPr>
        <a:xfrm>
          <a:off x="266700" y="0"/>
          <a:ext cx="1981200" cy="685800"/>
        </a:xfrm>
        <a:prstGeom prst="rect">
          <a:avLst/>
        </a:prstGeom>
        <a:noFill/>
      </xdr:spPr>
    </xdr:pic>
    <xdr:clientData fLocksWithSheet="0"/>
  </xdr:oneCellAnchor>
  <xdr:oneCellAnchor>
    <xdr:from>
      <xdr:col>0</xdr:col>
      <xdr:colOff>295275</xdr:colOff>
      <xdr:row>0</xdr:row>
      <xdr:rowOff>0</xdr:rowOff>
    </xdr:from>
    <xdr:ext cx="2219325" cy="752475"/>
    <xdr:pic>
      <xdr:nvPicPr>
        <xdr:cNvPr id="3" name="image1.png">
          <a:extLst>
            <a:ext uri="{FF2B5EF4-FFF2-40B4-BE49-F238E27FC236}">
              <a16:creationId xmlns:a16="http://schemas.microsoft.com/office/drawing/2014/main" id="{BAB5A057-8823-DD4C-BC8F-8DF2FA57B88A}"/>
            </a:ext>
          </a:extLst>
        </xdr:cNvPr>
        <xdr:cNvPicPr preferRelativeResize="0"/>
      </xdr:nvPicPr>
      <xdr:blipFill>
        <a:blip xmlns:r="http://schemas.openxmlformats.org/officeDocument/2006/relationships" r:embed="rId1" cstate="print"/>
        <a:stretch>
          <a:fillRect/>
        </a:stretch>
      </xdr:blipFill>
      <xdr:spPr>
        <a:xfrm>
          <a:off x="295275" y="0"/>
          <a:ext cx="2219325" cy="7524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-84705825</xdr:colOff>
      <xdr:row>79</xdr:row>
      <xdr:rowOff>19050</xdr:rowOff>
    </xdr:from>
    <xdr:ext cx="4591050" cy="3095625"/>
    <xdr:graphicFrame macro="">
      <xdr:nvGraphicFramePr>
        <xdr:cNvPr id="829213832" name="Chart 1">
          <a:extLst>
            <a:ext uri="{FF2B5EF4-FFF2-40B4-BE49-F238E27FC236}">
              <a16:creationId xmlns:a16="http://schemas.microsoft.com/office/drawing/2014/main" id="{00000000-0008-0000-0100-000088CC6C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33</xdr:col>
      <xdr:colOff>742950</xdr:colOff>
      <xdr:row>0</xdr:row>
      <xdr:rowOff>-7639050</xdr:rowOff>
    </xdr:from>
    <xdr:ext cx="7810500" cy="3714750"/>
    <xdr:graphicFrame macro="">
      <xdr:nvGraphicFramePr>
        <xdr:cNvPr id="558055895" name="Chart 2">
          <a:extLst>
            <a:ext uri="{FF2B5EF4-FFF2-40B4-BE49-F238E27FC236}">
              <a16:creationId xmlns:a16="http://schemas.microsoft.com/office/drawing/2014/main" id="{00000000-0008-0000-0100-0000D74143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xdr:col>
      <xdr:colOff>0</xdr:colOff>
      <xdr:row>0</xdr:row>
      <xdr:rowOff>0</xdr:rowOff>
    </xdr:from>
    <xdr:ext cx="1495425" cy="4667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295275</xdr:colOff>
      <xdr:row>0</xdr:row>
      <xdr:rowOff>0</xdr:rowOff>
    </xdr:from>
    <xdr:ext cx="2219325" cy="752475"/>
    <xdr:pic>
      <xdr:nvPicPr>
        <xdr:cNvPr id="3" name="image1.png">
          <a:extLst>
            <a:ext uri="{FF2B5EF4-FFF2-40B4-BE49-F238E27FC236}">
              <a16:creationId xmlns:a16="http://schemas.microsoft.com/office/drawing/2014/main" id="{D1D50846-3FE0-6243-AAED-F7BABE3CA82D}"/>
            </a:ext>
          </a:extLst>
        </xdr:cNvPr>
        <xdr:cNvPicPr preferRelativeResize="0"/>
      </xdr:nvPicPr>
      <xdr:blipFill>
        <a:blip xmlns:r="http://schemas.openxmlformats.org/officeDocument/2006/relationships" r:embed="rId3" cstate="print"/>
        <a:stretch>
          <a:fillRect/>
        </a:stretch>
      </xdr:blipFill>
      <xdr:spPr>
        <a:xfrm>
          <a:off x="295275" y="0"/>
          <a:ext cx="2219325" cy="7524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1466850" cy="4667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295275</xdr:colOff>
      <xdr:row>0</xdr:row>
      <xdr:rowOff>0</xdr:rowOff>
    </xdr:from>
    <xdr:ext cx="2219325" cy="752475"/>
    <xdr:pic>
      <xdr:nvPicPr>
        <xdr:cNvPr id="3" name="image1.png">
          <a:extLst>
            <a:ext uri="{FF2B5EF4-FFF2-40B4-BE49-F238E27FC236}">
              <a16:creationId xmlns:a16="http://schemas.microsoft.com/office/drawing/2014/main" id="{A063887D-4790-0D49-9A30-FBEF6943F952}"/>
            </a:ext>
          </a:extLst>
        </xdr:cNvPr>
        <xdr:cNvPicPr preferRelativeResize="0"/>
      </xdr:nvPicPr>
      <xdr:blipFill>
        <a:blip xmlns:r="http://schemas.openxmlformats.org/officeDocument/2006/relationships" r:embed="rId1" cstate="print"/>
        <a:stretch>
          <a:fillRect/>
        </a:stretch>
      </xdr:blipFill>
      <xdr:spPr>
        <a:xfrm>
          <a:off x="295275" y="0"/>
          <a:ext cx="2219325" cy="7524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1466850" cy="4667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295275</xdr:colOff>
      <xdr:row>0</xdr:row>
      <xdr:rowOff>0</xdr:rowOff>
    </xdr:from>
    <xdr:ext cx="2219325" cy="752475"/>
    <xdr:pic>
      <xdr:nvPicPr>
        <xdr:cNvPr id="3" name="image1.png">
          <a:extLst>
            <a:ext uri="{FF2B5EF4-FFF2-40B4-BE49-F238E27FC236}">
              <a16:creationId xmlns:a16="http://schemas.microsoft.com/office/drawing/2014/main" id="{FF9C98FA-DAE4-C048-B4C7-46E70B3611DC}"/>
            </a:ext>
          </a:extLst>
        </xdr:cNvPr>
        <xdr:cNvPicPr preferRelativeResize="0"/>
      </xdr:nvPicPr>
      <xdr:blipFill>
        <a:blip xmlns:r="http://schemas.openxmlformats.org/officeDocument/2006/relationships" r:embed="rId1" cstate="print"/>
        <a:stretch>
          <a:fillRect/>
        </a:stretch>
      </xdr:blipFill>
      <xdr:spPr>
        <a:xfrm>
          <a:off x="295275" y="0"/>
          <a:ext cx="2219325" cy="7524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19050</xdr:colOff>
      <xdr:row>0</xdr:row>
      <xdr:rowOff>0</xdr:rowOff>
    </xdr:from>
    <xdr:ext cx="1447800" cy="4667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0</xdr:row>
      <xdr:rowOff>0</xdr:rowOff>
    </xdr:from>
    <xdr:ext cx="1466850" cy="466725"/>
    <xdr:pic>
      <xdr:nvPicPr>
        <xdr:cNvPr id="3" name="image1.png">
          <a:extLst>
            <a:ext uri="{FF2B5EF4-FFF2-40B4-BE49-F238E27FC236}">
              <a16:creationId xmlns:a16="http://schemas.microsoft.com/office/drawing/2014/main" id="{5B7F7A74-5977-C14C-A6B7-0BF182975E90}"/>
            </a:ext>
          </a:extLst>
        </xdr:cNvPr>
        <xdr:cNvPicPr preferRelativeResize="0"/>
      </xdr:nvPicPr>
      <xdr:blipFill>
        <a:blip xmlns:r="http://schemas.openxmlformats.org/officeDocument/2006/relationships" r:embed="rId1" cstate="print"/>
        <a:stretch>
          <a:fillRect/>
        </a:stretch>
      </xdr:blipFill>
      <xdr:spPr>
        <a:xfrm>
          <a:off x="241300" y="0"/>
          <a:ext cx="1466850" cy="466725"/>
        </a:xfrm>
        <a:prstGeom prst="rect">
          <a:avLst/>
        </a:prstGeom>
        <a:noFill/>
      </xdr:spPr>
    </xdr:pic>
    <xdr:clientData fLocksWithSheet="0"/>
  </xdr:oneCellAnchor>
  <xdr:oneCellAnchor>
    <xdr:from>
      <xdr:col>0</xdr:col>
      <xdr:colOff>295275</xdr:colOff>
      <xdr:row>0</xdr:row>
      <xdr:rowOff>0</xdr:rowOff>
    </xdr:from>
    <xdr:ext cx="2219325" cy="752475"/>
    <xdr:pic>
      <xdr:nvPicPr>
        <xdr:cNvPr id="4" name="image1.png">
          <a:extLst>
            <a:ext uri="{FF2B5EF4-FFF2-40B4-BE49-F238E27FC236}">
              <a16:creationId xmlns:a16="http://schemas.microsoft.com/office/drawing/2014/main" id="{A3C2C36B-804C-3949-BAA8-EDBA691A8B93}"/>
            </a:ext>
          </a:extLst>
        </xdr:cNvPr>
        <xdr:cNvPicPr preferRelativeResize="0"/>
      </xdr:nvPicPr>
      <xdr:blipFill>
        <a:blip xmlns:r="http://schemas.openxmlformats.org/officeDocument/2006/relationships" r:embed="rId1" cstate="print"/>
        <a:stretch>
          <a:fillRect/>
        </a:stretch>
      </xdr:blipFill>
      <xdr:spPr>
        <a:xfrm>
          <a:off x="244475" y="0"/>
          <a:ext cx="2219325" cy="7524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9525</xdr:colOff>
      <xdr:row>0</xdr:row>
      <xdr:rowOff>0</xdr:rowOff>
    </xdr:from>
    <xdr:ext cx="1476375" cy="4667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295275</xdr:colOff>
      <xdr:row>0</xdr:row>
      <xdr:rowOff>0</xdr:rowOff>
    </xdr:from>
    <xdr:ext cx="2219325" cy="752475"/>
    <xdr:pic>
      <xdr:nvPicPr>
        <xdr:cNvPr id="3" name="image1.png">
          <a:extLst>
            <a:ext uri="{FF2B5EF4-FFF2-40B4-BE49-F238E27FC236}">
              <a16:creationId xmlns:a16="http://schemas.microsoft.com/office/drawing/2014/main" id="{81C24B2F-A99A-2941-A460-29D2FD31C2C6}"/>
            </a:ext>
          </a:extLst>
        </xdr:cNvPr>
        <xdr:cNvPicPr preferRelativeResize="0"/>
      </xdr:nvPicPr>
      <xdr:blipFill>
        <a:blip xmlns:r="http://schemas.openxmlformats.org/officeDocument/2006/relationships" r:embed="rId1" cstate="print"/>
        <a:stretch>
          <a:fillRect/>
        </a:stretch>
      </xdr:blipFill>
      <xdr:spPr>
        <a:xfrm>
          <a:off x="295275" y="0"/>
          <a:ext cx="2219325" cy="7524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0</xdr:row>
      <xdr:rowOff>0</xdr:rowOff>
    </xdr:from>
    <xdr:ext cx="1485900" cy="466725"/>
    <xdr:pic>
      <xdr:nvPicPr>
        <xdr:cNvPr id="2" name="image1.png">
          <a:extLst>
            <a:ext uri="{FF2B5EF4-FFF2-40B4-BE49-F238E27FC236}">
              <a16:creationId xmlns:a16="http://schemas.microsoft.com/office/drawing/2014/main" id="{BC0A0F5D-5255-A448-B52F-1CDEBABFC5CF}"/>
            </a:ext>
          </a:extLst>
        </xdr:cNvPr>
        <xdr:cNvPicPr preferRelativeResize="0"/>
      </xdr:nvPicPr>
      <xdr:blipFill>
        <a:blip xmlns:r="http://schemas.openxmlformats.org/officeDocument/2006/relationships" r:embed="rId1" cstate="print"/>
        <a:stretch>
          <a:fillRect/>
        </a:stretch>
      </xdr:blipFill>
      <xdr:spPr>
        <a:xfrm>
          <a:off x="266700" y="0"/>
          <a:ext cx="1485900" cy="466725"/>
        </a:xfrm>
        <a:prstGeom prst="rect">
          <a:avLst/>
        </a:prstGeom>
        <a:noFill/>
      </xdr:spPr>
    </xdr:pic>
    <xdr:clientData fLocksWithSheet="0"/>
  </xdr:oneCellAnchor>
  <xdr:oneCellAnchor>
    <xdr:from>
      <xdr:col>0</xdr:col>
      <xdr:colOff>295275</xdr:colOff>
      <xdr:row>0</xdr:row>
      <xdr:rowOff>0</xdr:rowOff>
    </xdr:from>
    <xdr:ext cx="2219325" cy="752475"/>
    <xdr:pic>
      <xdr:nvPicPr>
        <xdr:cNvPr id="3" name="image1.png">
          <a:extLst>
            <a:ext uri="{FF2B5EF4-FFF2-40B4-BE49-F238E27FC236}">
              <a16:creationId xmlns:a16="http://schemas.microsoft.com/office/drawing/2014/main" id="{40700225-F86E-844D-A30C-7B60B7000570}"/>
            </a:ext>
          </a:extLst>
        </xdr:cNvPr>
        <xdr:cNvPicPr preferRelativeResize="0"/>
      </xdr:nvPicPr>
      <xdr:blipFill>
        <a:blip xmlns:r="http://schemas.openxmlformats.org/officeDocument/2006/relationships" r:embed="rId1" cstate="print"/>
        <a:stretch>
          <a:fillRect/>
        </a:stretch>
      </xdr:blipFill>
      <xdr:spPr>
        <a:xfrm>
          <a:off x="295275" y="0"/>
          <a:ext cx="2219325" cy="75247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67</xdr:col>
      <xdr:colOff>628650</xdr:colOff>
      <xdr:row>48</xdr:row>
      <xdr:rowOff>57150</xdr:rowOff>
    </xdr:from>
    <xdr:ext cx="5162550" cy="5505450"/>
    <xdr:graphicFrame macro="">
      <xdr:nvGraphicFramePr>
        <xdr:cNvPr id="1960364659" name="Chart 5">
          <a:extLst>
            <a:ext uri="{FF2B5EF4-FFF2-40B4-BE49-F238E27FC236}">
              <a16:creationId xmlns:a16="http://schemas.microsoft.com/office/drawing/2014/main" id="{00000000-0008-0000-0700-000073CAD8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0</xdr:colOff>
      <xdr:row>0</xdr:row>
      <xdr:rowOff>0</xdr:rowOff>
    </xdr:from>
    <xdr:ext cx="1524000" cy="4667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87" personId="{00000000-0000-0000-0000-000000000000}" id="{C65983ED-A474-7146-913B-07D44DE6A986}">
    <text>======
ID#AAABlEVvlEw
Aldahir Alvarado    (2025-06-02 03:37:44)
65 hombres</text>
  </threadedComment>
  <threadedComment ref="H87" personId="{00000000-0000-0000-0000-000000000000}" id="{B462FFE1-EA9B-CE46-A1AB-E10CC531FF3D}">
    <text>======
ID#AAABlESAqr8
Aldahir Alvarado    (2025-06-02 03:37:43)
49 hombres</text>
  </threadedComment>
  <threadedComment ref="I87" personId="{00000000-0000-0000-0000-000000000000}" id="{65EC4A03-5751-ED43-B601-1ACDDCFA2859}">
    <text>======
ID#AAABlESBESw
Aldahir Alvarado    (2025-06-02 03:37:43)
191 hombres</text>
  </threadedComment>
  <threadedComment ref="J87" personId="{00000000-0000-0000-0000-000000000000}" id="{DC301F4C-8D05-3949-9191-8F137B7277D2}">
    <text>======
ID#AAABlESBESo
Aldahir Alvarado    (2025-06-02 03:37:43)
24 hombres</text>
  </threadedComment>
  <threadedComment ref="K87" personId="{00000000-0000-0000-0000-000000000000}" id="{3333136F-F02D-F240-8AFA-085B62A8474F}">
    <text>======
ID#AAABlESAqss
Aldahir Alvarado    (2025-06-02 03:37:43)
6 hombres</text>
  </threadedComment>
  <threadedComment ref="G88" personId="{00000000-0000-0000-0000-000000000000}" id="{B713C132-1457-0F41-8A1E-52196D56BB8A}">
    <text>======
ID#AAABlESBETA
Aldahir Alvarado    (2025-06-02 03:37:43)
16 mujeres</text>
  </threadedComment>
  <threadedComment ref="H88" personId="{00000000-0000-0000-0000-000000000000}" id="{75CBA0AF-2C86-CD4C-8CAE-1B4A1CE0213A}">
    <text>======
ID#AAABlESAqsg
Aldahir Alvarado    (2025-06-02 03:37:43)
6 mujeres</text>
  </threadedComment>
  <threadedComment ref="I88" personId="{00000000-0000-0000-0000-000000000000}" id="{D3039C9B-EDD6-2944-BA63-A7682B806BAB}">
    <text>======
ID#AAABlESAqsY
Aldahir Alvarado    (2025-06-02 03:37:43)
39 mujeres</text>
  </threadedComment>
  <threadedComment ref="J88" personId="{00000000-0000-0000-0000-000000000000}" id="{1DDD0FBF-F6C6-CD4E-A8FC-72590CFB2D01}">
    <text>======
ID#AAABlESBESs
Aldahir Alvarado    (2025-06-02 03:37:43)
4</text>
  </threadedComment>
  <threadedComment ref="G99" personId="{00000000-0000-0000-0000-000000000000}" id="{21489C8A-62B8-FF4A-A36D-DAC3DAB6B9DF}">
    <text>======
ID#AAABlESBESU
Aldahir Alvarado    (2025-06-02 03:37:43)
52 hombres</text>
  </threadedComment>
  <threadedComment ref="H99" personId="{00000000-0000-0000-0000-000000000000}" id="{8E9C35CD-D441-3245-AB91-32E360904751}">
    <text>======
ID#AAABlESAqsI
Aldahir Alvarado    (2025-06-02 03:37:43)
47 hombres</text>
  </threadedComment>
  <threadedComment ref="I99" personId="{00000000-0000-0000-0000-000000000000}" id="{59DC56FA-8B36-1648-BA04-491F94FEA843}">
    <text>======
ID#AAABlEVvlEY
Aldahir Alvarado    (2025-06-02 03:37:44)
42 hombres</text>
  </threadedComment>
  <threadedComment ref="J99" personId="{00000000-0000-0000-0000-000000000000}" id="{8312FFE0-01A0-DD4A-8622-8408FE8B630C}">
    <text>======
ID#AAABlESAqsM
Aldahir Alvarado    (2025-06-02 03:37:43)
22 hombres</text>
  </threadedComment>
  <threadedComment ref="N101" personId="{00000000-0000-0000-0000-000000000000}" id="{AAE955D2-AB80-3D4A-B8A1-ADB1B9D83DBA}">
    <text>======
ID#AAABlESAqsQ
Aldahir Alvarado    (2025-06-02 03:37:43)
209 totales</text>
  </threadedComment>
  <threadedComment ref="F117" personId="{00000000-0000-0000-0000-000000000000}" id="{52A1092B-00F3-564D-87A6-CF48D2901C40}">
    <text>======
ID#AAABlEVvlE4
tc={93CBF504-F8F7-4DAA-99FC-08B6410920B8}    (2025-06-02 03:37:44)
[Threaded comment]
Your version of Excel allows you to read this threaded comment; however, any edits to it will get removed if the file is opened in a newer version of Excel. Learn more: https://go.microsoft.com/fwlink/?linkid=870924
Comment:
    Falta desglose por género</text>
  </threadedComment>
  <threadedComment ref="G119" personId="{00000000-0000-0000-0000-000000000000}" id="{B7783E58-EA6E-D842-B523-86BFEB8D41DD}">
    <text>======
ID#AAABlESBESg
Aldahir Alvarado    (2025-06-02 03:37:43)
16,617 totales</text>
  </threadedComment>
  <threadedComment ref="H119" personId="{00000000-0000-0000-0000-000000000000}" id="{B3549138-F1C0-CC42-B8BE-ECF8AA3BC912}">
    <text>======
ID#AAABlESBETE
Aldahir Alvarado    (2025-06-02 03:37:43)
4,166 totales</text>
  </threadedComment>
  <threadedComment ref="I119" personId="{00000000-0000-0000-0000-000000000000}" id="{45B3C508-EE4C-A545-A7D9-1E1B7AD53CB5}">
    <text>======
ID#AAABlESBESQ
Aldahir Alvarado    (2025-06-02 03:37:43)
43,895</text>
  </threadedComment>
  <threadedComment ref="O122" personId="{00000000-0000-0000-0000-000000000000}" id="{8AFD3F05-5225-B044-9A34-0E57094D6A62}">
    <text>======
ID#AAABlESBETI
Julio Leal    (2025-06-02 03:37:43)
Resultado anterior 48,
formula utilizada=O117/O25</text>
  </threadedComment>
  <threadedComment ref="P122" personId="{00000000-0000-0000-0000-000000000000}" id="{99C877EA-5992-4B4D-AF9A-5D22454E528A}">
    <text>======
ID#AAABlESBESk
Julio Leal    (2025-06-02 03:37:43)
Dato anterior antes de la correción: 48</text>
  </threadedComment>
  <threadedComment ref="Q122" personId="{00000000-0000-0000-0000-000000000000}" id="{2AC0284B-E004-C046-BAC2-7FBA98662542}">
    <text>======
ID#AAABlESAqsw
Julio Leal    (2025-06-02 03:37:43)
Dato anterior antes de la correción: 79</text>
  </threadedComment>
  <threadedComment ref="R122" personId="{00000000-0000-0000-0000-000000000000}" id="{8B75F728-9F80-2E4E-942A-B47F0B9D7917}">
    <text>======
ID#AAABlEVvlEg
Julio Leal    (2025-06-02 03:37:44)
Dato anterior antes de la correción: 28</text>
  </threadedComment>
  <threadedComment ref="S122" personId="{00000000-0000-0000-0000-000000000000}" id="{9B70FC1D-CD5D-1142-941F-E96C63E835E6}">
    <text>======
ID#AAABlESAqsU
Julio Leal    (2025-06-02 03:37:43)
Dato anterior antes de la correción: NA</text>
  </threadedComment>
  <threadedComment ref="U122" personId="{00000000-0000-0000-0000-000000000000}" id="{7A2625EC-3C1C-844C-9B5E-DDF9E62BDE4B}">
    <text>======
ID#AAABlESAqso
Julio Leal    (2025-06-02 03:37:43)
Dato anterior antes de la correción: 47</text>
  </threadedComment>
  <threadedComment ref="O123" personId="{00000000-0000-0000-0000-000000000000}" id="{40724BA9-9C43-D445-80F8-19ED497E208E}">
    <text>======
ID#AAABlEVvlEc
Julio Leal    (2025-06-02 03:37:44)
Dato anterior antes de la correción: 28</text>
  </threadedComment>
  <threadedComment ref="P123" personId="{00000000-0000-0000-0000-000000000000}" id="{26186BF4-F2E5-5E43-83F3-4F8AB38C2CF8}">
    <text>======
ID#AAABlEVvlEk
Julio Leal    (2025-06-02 03:37:44)
Dato anterior antes de la correción: 67</text>
  </threadedComment>
  <threadedComment ref="Q123" personId="{00000000-0000-0000-0000-000000000000}" id="{5A498B64-5750-EA43-8171-E82B0374C291}">
    <text>======
ID#AAABlEVvlE0
Julio Leal    (2025-06-02 03:37:44)
Dato anterior antes de la correción: 59</text>
  </threadedComment>
  <threadedComment ref="R123" personId="{00000000-0000-0000-0000-000000000000}" id="{F7D1DFA9-04B4-EA46-BC39-E983046741FC}">
    <text>======
ID#AAABlESBETM
Julio Leal    (2025-06-02 03:37:43)
Dato anterior antes de la correción: 36</text>
  </threadedComment>
  <threadedComment ref="S123" personId="{00000000-0000-0000-0000-000000000000}" id="{444FB393-7E83-E94F-A1A2-578E47CC1627}">
    <text>======
ID#AAABlESAqsk
Julio Leal    (2025-06-02 03:37:43)
Dato anterior antes de la correción: NA</text>
  </threadedComment>
  <threadedComment ref="U123" personId="{00000000-0000-0000-0000-000000000000}" id="{12861ED0-77FF-5045-804C-D1E0F54B43F9}">
    <text>======
ID#AAABlESBES4
Julio Leal    (2025-06-02 03:37:43)
Dato anterior antes de la correción: 36</text>
  </threadedComment>
  <threadedComment ref="O124" personId="{00000000-0000-0000-0000-000000000000}" id="{4EDDBCF0-5B2D-CE4C-8BEF-986E19DDE3DC}">
    <text>======
ID#AAABlESBES0
Julio Leal    (2025-06-02 03:37:43)
Dato anterior antes de la correción: 45</text>
  </threadedComment>
  <threadedComment ref="P124" personId="{00000000-0000-0000-0000-000000000000}" id="{BE18CC9F-6BDC-1742-9E18-48DD8478F67A}">
    <text>======
ID#AAABlESAqsE
Julio Leal    (2025-06-02 03:37:43)
Dato anterior antes de la correción: 50</text>
  </threadedComment>
  <threadedComment ref="Q124" personId="{00000000-0000-0000-0000-000000000000}" id="{814D88C8-B28A-8A48-A201-9C01848D4AB7}">
    <text>======
ID#AAABlESAqsA
Julio Leal    (2025-06-02 03:37:43)
Dato anterior antes de la correción: 75</text>
  </threadedComment>
  <threadedComment ref="R124" personId="{00000000-0000-0000-0000-000000000000}" id="{1D95DE8A-E9C7-D94C-8C86-9248C955F5D6}">
    <text>======
ID#AAABlESBESY
Julio Leal    (2025-06-02 03:37:43)
Dato anterior antes de la correción: 31</text>
  </threadedComment>
  <threadedComment ref="S124" personId="{00000000-0000-0000-0000-000000000000}" id="{0EC65FEA-F3E1-3D43-BB1E-622EAA6744D5}">
    <text>======
ID#AAABlESAqsc
Julio Leal    (2025-06-02 03:37:43)
Dato anterior antes de la correción: 13</text>
  </threadedComment>
  <threadedComment ref="U124" personId="{00000000-0000-0000-0000-000000000000}" id="{C470F44B-9ECD-8540-A1D2-320C9C6665A2}">
    <text>======
ID#AAABlESBESc
Julio Leal    (2025-06-02 03:37:43)
Dato anterior antes de la correción: 45</text>
  </threadedComment>
  <threadedComment ref="G153" personId="{00000000-0000-0000-0000-000000000000}" id="{53D8838F-12CA-1447-B486-8F4E1373B12D}">
    <text>======
ID#AAABlESBES8
Aldahir Alvarado    (2025-06-02 03:37:43)
JP</text>
  </threadedComment>
  <threadedComment ref="G172" personId="{00000000-0000-0000-0000-000000000000}" id="{4DF8035F-2CE0-C542-A932-66634168DA7D}">
    <text>======
ID#AAABlEVvlEs
tc={888E7C89-0CCE-4CE4-BB75-A55C4DE52C65}    (2025-06-02 03:37:44)
[Threaded comment]
Your version of Excel allows you to read this threaded comment; however, any edits to it will get removed if the file is opened in a newer version of Excel. Learn more: https://go.microsoft.com/fwlink/?linkid=870924
Comment:
    Estos datos estan mal, es parte de lo que tienen que revisar con Misael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drsilver.com/sustainability/reports-resources/2023/"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9.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5"/>
  <sheetViews>
    <sheetView showGridLines="0" zoomScale="130" zoomScaleNormal="130" workbookViewId="0">
      <selection activeCell="B2" sqref="B2"/>
    </sheetView>
  </sheetViews>
  <sheetFormatPr baseColWidth="10" defaultColWidth="11.1640625" defaultRowHeight="15" customHeight="1"/>
  <cols>
    <col min="1" max="1" width="4" customWidth="1"/>
    <col min="2" max="2" width="96.83203125" customWidth="1"/>
    <col min="3" max="24" width="11" customWidth="1"/>
  </cols>
  <sheetData>
    <row r="1" spans="2:2" ht="67" customHeight="1"/>
    <row r="2" spans="2:2" ht="46" customHeight="1">
      <c r="B2" s="281" t="s">
        <v>0</v>
      </c>
    </row>
    <row r="3" spans="2:2" ht="9" customHeight="1">
      <c r="B3" s="1"/>
    </row>
    <row r="4" spans="2:2" ht="27" customHeight="1">
      <c r="B4" s="3" t="s">
        <v>1</v>
      </c>
    </row>
    <row r="5" spans="2:2" ht="15.75" customHeight="1">
      <c r="B5" s="2"/>
    </row>
    <row r="6" spans="2:2" ht="45" customHeight="1">
      <c r="B6" s="381" t="s">
        <v>2</v>
      </c>
    </row>
    <row r="7" spans="2:2" ht="89" customHeight="1">
      <c r="B7" s="381" t="s">
        <v>595</v>
      </c>
    </row>
    <row r="8" spans="2:2" ht="60" customHeight="1">
      <c r="B8" s="382" t="s">
        <v>623</v>
      </c>
    </row>
    <row r="9" spans="2:2" ht="39" customHeight="1">
      <c r="B9" s="382" t="s">
        <v>594</v>
      </c>
    </row>
    <row r="10" spans="2:2" ht="19" customHeight="1">
      <c r="B10" s="627" t="s">
        <v>3</v>
      </c>
    </row>
    <row r="11" spans="2:2" ht="18" customHeight="1">
      <c r="B11" s="628" t="s">
        <v>631</v>
      </c>
    </row>
    <row r="12" spans="2:2" ht="15.75" customHeight="1">
      <c r="B12" s="383"/>
    </row>
    <row r="13" spans="2:2" ht="15.75" customHeight="1"/>
    <row r="14" spans="2:2" ht="15.75" customHeight="1"/>
    <row r="15" spans="2:2" ht="15.75" customHeight="1"/>
  </sheetData>
  <sheetProtection algorithmName="SHA-512" hashValue="NxHVFO0+/ZRYVd33SOgxV5K/frJs61xynnOBJ67tTOZS94Wx2S/pTBHcvADyNs5cHLlZ8/0xm77LNJFjDiTl4Q==" saltValue="SPDjQozivy+6p9qzCcLSEg==" spinCount="100000" sheet="1" objects="1" scenarios="1"/>
  <hyperlinks>
    <hyperlink ref="B10" r:id="rId1" xr:uid="{00000000-0004-0000-0000-000000000000}"/>
  </hyperlinks>
  <pageMargins left="0.7" right="0.7" top="0.75" bottom="0.75" header="0" footer="0"/>
  <pageSetup orientation="landscape"/>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102"/>
  <sheetViews>
    <sheetView showGridLines="0" tabSelected="1" zoomScale="90" zoomScaleNormal="90" workbookViewId="0">
      <selection activeCell="B2" sqref="B2:C2"/>
    </sheetView>
  </sheetViews>
  <sheetFormatPr baseColWidth="10" defaultColWidth="11.1640625" defaultRowHeight="15" customHeight="1"/>
  <cols>
    <col min="1" max="1" width="3.33203125" customWidth="1"/>
    <col min="2" max="2" width="4.5" customWidth="1"/>
    <col min="3" max="3" width="52.5" customWidth="1"/>
    <col min="4" max="11" width="15.5" customWidth="1"/>
    <col min="12" max="12" width="14" customWidth="1"/>
    <col min="13" max="19" width="14" hidden="1" customWidth="1"/>
    <col min="20" max="20" width="14" customWidth="1"/>
    <col min="21" max="27" width="14" hidden="1" customWidth="1"/>
    <col min="28" max="28" width="14" customWidth="1"/>
    <col min="29" max="35" width="14" hidden="1" customWidth="1"/>
    <col min="36" max="36" width="14" customWidth="1"/>
    <col min="37" max="38" width="10.83203125" customWidth="1"/>
  </cols>
  <sheetData>
    <row r="1" spans="1:36" ht="67" customHeight="1"/>
    <row r="2" spans="1:36" ht="18" customHeight="1">
      <c r="A2" s="6"/>
      <c r="B2" s="643" t="s">
        <v>4</v>
      </c>
      <c r="C2" s="770"/>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row>
    <row r="4" spans="1:36" ht="21">
      <c r="D4" s="771" t="s">
        <v>523</v>
      </c>
      <c r="E4" s="772"/>
      <c r="F4" s="772"/>
      <c r="G4" s="772"/>
      <c r="H4" s="772"/>
      <c r="I4" s="773"/>
      <c r="J4" s="435" t="s">
        <v>524</v>
      </c>
      <c r="K4" s="435" t="s">
        <v>525</v>
      </c>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row>
    <row r="5" spans="1:36" s="234" customFormat="1" ht="77.25" customHeight="1">
      <c r="B5" s="645" t="s">
        <v>5</v>
      </c>
      <c r="C5" s="688"/>
      <c r="D5" s="430" t="s">
        <v>19</v>
      </c>
      <c r="E5" s="431" t="s">
        <v>20</v>
      </c>
      <c r="F5" s="431" t="s">
        <v>527</v>
      </c>
      <c r="G5" s="431" t="s">
        <v>21</v>
      </c>
      <c r="H5" s="431" t="s">
        <v>526</v>
      </c>
      <c r="I5" s="432" t="s">
        <v>63</v>
      </c>
      <c r="J5" s="433" t="s">
        <v>617</v>
      </c>
      <c r="K5" s="434" t="s">
        <v>64</v>
      </c>
      <c r="L5" s="289" t="s">
        <v>6</v>
      </c>
      <c r="M5" s="287" t="s">
        <v>19</v>
      </c>
      <c r="N5" s="287" t="s">
        <v>20</v>
      </c>
      <c r="O5" s="287" t="s">
        <v>527</v>
      </c>
      <c r="P5" s="287" t="s">
        <v>21</v>
      </c>
      <c r="Q5" s="287" t="s">
        <v>62</v>
      </c>
      <c r="R5" s="284" t="s">
        <v>63</v>
      </c>
      <c r="S5" s="284" t="s">
        <v>64</v>
      </c>
      <c r="T5" s="289" t="s">
        <v>7</v>
      </c>
      <c r="U5" s="287" t="s">
        <v>19</v>
      </c>
      <c r="V5" s="287" t="s">
        <v>20</v>
      </c>
      <c r="W5" s="287" t="s">
        <v>528</v>
      </c>
      <c r="X5" s="287" t="s">
        <v>21</v>
      </c>
      <c r="Y5" s="287" t="s">
        <v>23</v>
      </c>
      <c r="Z5" s="287" t="s">
        <v>529</v>
      </c>
      <c r="AA5" s="287" t="s">
        <v>251</v>
      </c>
      <c r="AB5" s="289" t="s">
        <v>8</v>
      </c>
      <c r="AC5" s="287" t="s">
        <v>19</v>
      </c>
      <c r="AD5" s="287" t="s">
        <v>20</v>
      </c>
      <c r="AE5" s="287" t="s">
        <v>528</v>
      </c>
      <c r="AF5" s="287" t="s">
        <v>21</v>
      </c>
      <c r="AG5" s="287" t="s">
        <v>23</v>
      </c>
      <c r="AH5" s="287" t="s">
        <v>529</v>
      </c>
      <c r="AI5" s="287" t="s">
        <v>251</v>
      </c>
      <c r="AJ5" s="289" t="s">
        <v>68</v>
      </c>
    </row>
    <row r="6" spans="1:36" ht="14.25" customHeight="1">
      <c r="B6" s="7" t="s">
        <v>530</v>
      </c>
      <c r="C6" s="8"/>
      <c r="D6" s="8"/>
      <c r="E6" s="8"/>
      <c r="F6" s="8"/>
      <c r="G6" s="8"/>
      <c r="J6" s="8"/>
      <c r="K6" s="8"/>
      <c r="L6" s="4"/>
      <c r="M6" s="8"/>
      <c r="N6" s="8"/>
      <c r="O6" s="8"/>
      <c r="P6" s="8"/>
      <c r="Q6" s="8"/>
      <c r="R6" s="8"/>
      <c r="S6" s="8"/>
      <c r="T6" s="4"/>
      <c r="U6" s="4"/>
      <c r="V6" s="4"/>
      <c r="W6" s="4"/>
      <c r="X6" s="4"/>
      <c r="Y6" s="4"/>
      <c r="Z6" s="4"/>
      <c r="AA6" s="4"/>
      <c r="AB6" s="4"/>
      <c r="AC6" s="4"/>
      <c r="AD6" s="4"/>
      <c r="AE6" s="4"/>
      <c r="AF6" s="4"/>
      <c r="AG6" s="4"/>
      <c r="AH6" s="4"/>
      <c r="AI6" s="4"/>
      <c r="AJ6" s="4"/>
    </row>
    <row r="7" spans="1:36" s="172" customFormat="1" ht="14.25" customHeight="1">
      <c r="B7" s="170"/>
      <c r="C7" s="169" t="s">
        <v>531</v>
      </c>
      <c r="D7" s="169"/>
      <c r="E7" s="169"/>
      <c r="F7" s="169"/>
      <c r="G7" s="169"/>
      <c r="J7" s="169"/>
      <c r="K7" s="169"/>
      <c r="L7" s="202"/>
      <c r="M7" s="169"/>
      <c r="N7" s="169"/>
      <c r="O7" s="169"/>
      <c r="P7" s="169"/>
      <c r="Q7" s="169"/>
      <c r="R7" s="169"/>
      <c r="S7" s="169"/>
      <c r="T7" s="202"/>
      <c r="U7" s="202"/>
      <c r="V7" s="202"/>
      <c r="W7" s="202"/>
      <c r="X7" s="202"/>
      <c r="Y7" s="202"/>
      <c r="Z7" s="202"/>
      <c r="AA7" s="202"/>
      <c r="AB7" s="202"/>
      <c r="AC7" s="202"/>
      <c r="AD7" s="202"/>
      <c r="AE7" s="202"/>
      <c r="AF7" s="202"/>
      <c r="AG7" s="202"/>
      <c r="AH7" s="202"/>
      <c r="AI7" s="202"/>
      <c r="AJ7" s="202"/>
    </row>
    <row r="8" spans="1:36" s="172" customFormat="1" ht="14.25" customHeight="1">
      <c r="B8" s="173"/>
      <c r="C8" s="203" t="s">
        <v>532</v>
      </c>
      <c r="D8" s="375">
        <v>197708</v>
      </c>
      <c r="E8" s="375">
        <v>74232</v>
      </c>
      <c r="F8" s="626">
        <v>0</v>
      </c>
      <c r="G8" s="375">
        <v>84530</v>
      </c>
      <c r="H8" s="375">
        <v>0</v>
      </c>
      <c r="I8" s="626">
        <v>0</v>
      </c>
      <c r="J8" s="374">
        <v>111057</v>
      </c>
      <c r="K8" s="626">
        <v>0</v>
      </c>
      <c r="L8" s="178">
        <f>SUM(D8:K8)</f>
        <v>467527</v>
      </c>
      <c r="M8" s="179">
        <v>146384.8580495707</v>
      </c>
      <c r="N8" s="179">
        <v>76283.901466775031</v>
      </c>
      <c r="O8" s="179">
        <v>0</v>
      </c>
      <c r="P8" s="179">
        <v>0</v>
      </c>
      <c r="Q8" s="179">
        <v>0</v>
      </c>
      <c r="R8" s="179">
        <v>0</v>
      </c>
      <c r="S8" s="179"/>
      <c r="T8" s="178">
        <f>SUM(M8:S8)</f>
        <v>222668.75951634574</v>
      </c>
      <c r="U8" s="179">
        <v>150552.38175473636</v>
      </c>
      <c r="V8" s="179">
        <v>55279.930722503763</v>
      </c>
      <c r="W8" s="179">
        <v>0</v>
      </c>
      <c r="X8" s="179">
        <v>0</v>
      </c>
      <c r="Y8" s="179">
        <v>0</v>
      </c>
      <c r="Z8" s="179">
        <v>0</v>
      </c>
      <c r="AA8" s="179"/>
      <c r="AB8" s="178">
        <f>SUM(U8:AA8)</f>
        <v>205832.31247724011</v>
      </c>
      <c r="AC8" s="179">
        <v>154786.73137780401</v>
      </c>
      <c r="AD8" s="179">
        <v>56741.504889559903</v>
      </c>
      <c r="AE8" s="179">
        <v>0</v>
      </c>
      <c r="AF8" s="179">
        <v>0</v>
      </c>
      <c r="AG8" s="179">
        <v>0</v>
      </c>
      <c r="AH8" s="179">
        <v>0</v>
      </c>
      <c r="AI8" s="179">
        <v>0</v>
      </c>
      <c r="AJ8" s="178">
        <f>SUM(AC8:AI8)</f>
        <v>211528.23626736391</v>
      </c>
    </row>
    <row r="9" spans="1:36" s="172" customFormat="1" ht="14.25" customHeight="1">
      <c r="B9" s="173"/>
      <c r="C9" s="174" t="s">
        <v>533</v>
      </c>
      <c r="D9" s="429"/>
      <c r="E9" s="429"/>
      <c r="F9" s="626"/>
      <c r="G9" s="429"/>
      <c r="H9" s="429"/>
      <c r="I9" s="429"/>
      <c r="J9" s="429"/>
      <c r="L9" s="179"/>
      <c r="M9" s="179">
        <v>0</v>
      </c>
      <c r="N9" s="179">
        <v>0</v>
      </c>
      <c r="O9" s="179">
        <v>0</v>
      </c>
      <c r="P9" s="179">
        <v>0</v>
      </c>
      <c r="Q9" s="179">
        <v>0</v>
      </c>
      <c r="R9" s="179">
        <v>0</v>
      </c>
      <c r="S9" s="179"/>
      <c r="T9" s="179"/>
      <c r="U9" s="179"/>
      <c r="V9" s="179"/>
      <c r="W9" s="179"/>
      <c r="X9" s="179"/>
      <c r="Y9" s="179"/>
      <c r="Z9" s="179"/>
      <c r="AA9" s="179"/>
      <c r="AB9" s="179"/>
      <c r="AC9" s="179"/>
      <c r="AD9" s="179"/>
      <c r="AE9" s="179"/>
      <c r="AF9" s="179"/>
      <c r="AG9" s="179"/>
      <c r="AH9" s="179"/>
      <c r="AI9" s="179"/>
      <c r="AJ9" s="179"/>
    </row>
    <row r="10" spans="1:36" s="172" customFormat="1" ht="14.25" customHeight="1">
      <c r="B10" s="173"/>
      <c r="C10" s="203" t="s">
        <v>534</v>
      </c>
      <c r="D10" s="429">
        <v>102752</v>
      </c>
      <c r="E10" s="429">
        <v>44147</v>
      </c>
      <c r="F10" s="626">
        <v>0</v>
      </c>
      <c r="G10" s="429">
        <v>67868</v>
      </c>
      <c r="H10" s="429">
        <v>0</v>
      </c>
      <c r="I10" s="429">
        <v>0</v>
      </c>
      <c r="J10" s="374">
        <v>65577</v>
      </c>
      <c r="K10" s="626">
        <v>0</v>
      </c>
      <c r="L10" s="178">
        <f t="shared" ref="L10:L20" si="0">SUM(D10:K10)</f>
        <v>280344</v>
      </c>
      <c r="M10" s="179">
        <v>86702.48743593572</v>
      </c>
      <c r="N10" s="179">
        <v>30485.783007966918</v>
      </c>
      <c r="O10" s="179">
        <v>0</v>
      </c>
      <c r="P10" s="179">
        <v>0</v>
      </c>
      <c r="Q10" s="179">
        <v>0</v>
      </c>
      <c r="R10" s="179">
        <v>0</v>
      </c>
      <c r="S10" s="179">
        <v>0</v>
      </c>
      <c r="T10" s="178">
        <f t="shared" ref="T10:T22" si="1">SUM(M10:S10)</f>
        <v>117188.27044390264</v>
      </c>
      <c r="U10" s="179">
        <v>84571.489145071435</v>
      </c>
      <c r="V10" s="179">
        <v>27702.718128214456</v>
      </c>
      <c r="W10" s="179">
        <v>120.26836030829999</v>
      </c>
      <c r="X10" s="179">
        <v>0</v>
      </c>
      <c r="Y10" s="179">
        <v>0</v>
      </c>
      <c r="Z10" s="179">
        <v>0</v>
      </c>
      <c r="AA10" s="179"/>
      <c r="AB10" s="178">
        <f t="shared" ref="AB10:AB22" si="2">SUM(U10:AA10)</f>
        <v>112394.47563359419</v>
      </c>
      <c r="AC10" s="179">
        <v>78164.767497929206</v>
      </c>
      <c r="AD10" s="179">
        <v>30399.3084800865</v>
      </c>
      <c r="AE10" s="179">
        <v>350.32908140069998</v>
      </c>
      <c r="AF10" s="179">
        <v>0</v>
      </c>
      <c r="AG10" s="179">
        <v>0</v>
      </c>
      <c r="AH10" s="179">
        <v>0</v>
      </c>
      <c r="AI10" s="179">
        <v>0</v>
      </c>
      <c r="AJ10" s="178">
        <f t="shared" ref="AJ10:AJ19" si="3">SUM(AC10:AI10)</f>
        <v>108914.40505941641</v>
      </c>
    </row>
    <row r="11" spans="1:36" s="172" customFormat="1" ht="14.25" customHeight="1">
      <c r="B11" s="173"/>
      <c r="C11" s="203" t="s">
        <v>535</v>
      </c>
      <c r="D11" s="179">
        <v>16423.386027125718</v>
      </c>
      <c r="E11" s="179">
        <v>14129.117740740739</v>
      </c>
      <c r="F11" s="626">
        <v>0</v>
      </c>
      <c r="G11" s="179">
        <v>15390.070159102763</v>
      </c>
      <c r="H11" s="179">
        <v>1201.7710552947315</v>
      </c>
      <c r="I11" s="179">
        <v>5603.4664992175258</v>
      </c>
      <c r="J11" s="179">
        <f>16480191/1000</f>
        <v>16480.190999999999</v>
      </c>
      <c r="K11" s="179">
        <v>4206</v>
      </c>
      <c r="L11" s="178">
        <f>SUM(D11:K11)</f>
        <v>73434.002481481468</v>
      </c>
      <c r="M11" s="179">
        <v>15921.45223444074</v>
      </c>
      <c r="N11" s="179">
        <v>13911.448253747105</v>
      </c>
      <c r="O11" s="179">
        <v>0</v>
      </c>
      <c r="P11" s="179">
        <v>8297.8517523345126</v>
      </c>
      <c r="Q11" s="179">
        <v>43.351191167283126</v>
      </c>
      <c r="R11" s="179">
        <v>755.96352136582027</v>
      </c>
      <c r="S11" s="179">
        <v>8512</v>
      </c>
      <c r="T11" s="204">
        <f t="shared" si="1"/>
        <v>47442.066953055459</v>
      </c>
      <c r="U11" s="179">
        <v>16839.445685447987</v>
      </c>
      <c r="V11" s="179">
        <v>15631.47538401931</v>
      </c>
      <c r="W11" s="179">
        <v>0</v>
      </c>
      <c r="X11" s="179">
        <v>5839.6843558907876</v>
      </c>
      <c r="Y11" s="179">
        <v>203.61408638395204</v>
      </c>
      <c r="Z11" s="179">
        <v>755.40839627288426</v>
      </c>
      <c r="AA11" s="179">
        <f>3214+4131-1327</f>
        <v>6018</v>
      </c>
      <c r="AB11" s="178">
        <f t="shared" si="2"/>
        <v>45287.627908014918</v>
      </c>
      <c r="AC11" s="179">
        <v>16543.433434297302</v>
      </c>
      <c r="AD11" s="179">
        <v>14652.112615068099</v>
      </c>
      <c r="AE11" s="179">
        <v>0</v>
      </c>
      <c r="AF11" s="179">
        <v>3163.7824698792001</v>
      </c>
      <c r="AG11" s="179">
        <v>418.54088629879999</v>
      </c>
      <c r="AH11" s="179">
        <v>258.28556495070001</v>
      </c>
      <c r="AI11" s="179">
        <v>6047</v>
      </c>
      <c r="AJ11" s="178">
        <f t="shared" si="3"/>
        <v>41083.154970494099</v>
      </c>
    </row>
    <row r="12" spans="1:36" s="172" customFormat="1" ht="14.25" customHeight="1">
      <c r="B12" s="173"/>
      <c r="C12" s="203" t="s">
        <v>536</v>
      </c>
      <c r="D12" s="179">
        <v>0</v>
      </c>
      <c r="E12" s="179">
        <v>0</v>
      </c>
      <c r="F12" s="626">
        <v>0</v>
      </c>
      <c r="G12" s="179">
        <f>13721679.15/1000</f>
        <v>13721.67915</v>
      </c>
      <c r="H12" s="179">
        <v>0</v>
      </c>
      <c r="I12" s="179">
        <v>0</v>
      </c>
      <c r="J12" s="179">
        <v>519.89499999999998</v>
      </c>
      <c r="K12" s="626">
        <v>0</v>
      </c>
      <c r="L12" s="178">
        <f t="shared" si="0"/>
        <v>14241.57415</v>
      </c>
      <c r="M12" s="179">
        <v>12050.205945608246</v>
      </c>
      <c r="N12" s="179">
        <v>4467.4218927092497</v>
      </c>
      <c r="O12" s="179">
        <v>0</v>
      </c>
      <c r="P12" s="179">
        <v>0</v>
      </c>
      <c r="Q12" s="179">
        <v>0</v>
      </c>
      <c r="R12" s="179">
        <v>0</v>
      </c>
      <c r="S12" s="179">
        <v>8653</v>
      </c>
      <c r="T12" s="178">
        <f t="shared" si="1"/>
        <v>25170.627838317494</v>
      </c>
      <c r="U12" s="179">
        <v>0</v>
      </c>
      <c r="V12" s="179">
        <v>0</v>
      </c>
      <c r="W12" s="179">
        <v>0</v>
      </c>
      <c r="X12" s="179">
        <v>0</v>
      </c>
      <c r="Y12" s="179">
        <v>0</v>
      </c>
      <c r="Z12" s="179">
        <v>0</v>
      </c>
      <c r="AA12" s="179">
        <f>5991+342+822</f>
        <v>7155</v>
      </c>
      <c r="AB12" s="178">
        <f t="shared" si="2"/>
        <v>7155</v>
      </c>
      <c r="AC12" s="179"/>
      <c r="AD12" s="179"/>
      <c r="AE12" s="179"/>
      <c r="AF12" s="179"/>
      <c r="AG12" s="179"/>
      <c r="AH12" s="179"/>
      <c r="AI12" s="179">
        <v>6063</v>
      </c>
      <c r="AJ12" s="178">
        <f t="shared" si="3"/>
        <v>6063</v>
      </c>
    </row>
    <row r="13" spans="1:36" s="172" customFormat="1" ht="14.25" customHeight="1">
      <c r="B13" s="173"/>
      <c r="C13" s="203" t="s">
        <v>537</v>
      </c>
      <c r="D13" s="179">
        <v>10776.128393322901</v>
      </c>
      <c r="E13" s="179">
        <v>2882.0682284820027</v>
      </c>
      <c r="F13" s="179">
        <v>26.612832550860716</v>
      </c>
      <c r="G13" s="179">
        <v>363.40897235263429</v>
      </c>
      <c r="H13" s="179">
        <v>350.12754303599371</v>
      </c>
      <c r="I13" s="179">
        <v>1121.5573778895614</v>
      </c>
      <c r="J13" s="626">
        <v>0</v>
      </c>
      <c r="K13" s="626">
        <v>0</v>
      </c>
      <c r="L13" s="178">
        <f t="shared" si="0"/>
        <v>15519.903347633952</v>
      </c>
      <c r="M13" s="377">
        <v>11076.9935258441</v>
      </c>
      <c r="N13" s="377">
        <v>2617.2925754534949</v>
      </c>
      <c r="O13" s="377">
        <v>31.350947902672043</v>
      </c>
      <c r="P13" s="377">
        <v>2372.2541230587208</v>
      </c>
      <c r="Q13" s="377">
        <v>709.59424568619977</v>
      </c>
      <c r="R13" s="377">
        <v>264.6454694730557</v>
      </c>
      <c r="S13" s="377">
        <v>0</v>
      </c>
      <c r="T13" s="377">
        <f t="shared" si="1"/>
        <v>17072.130887418247</v>
      </c>
      <c r="U13" s="179">
        <v>7685.9698054631999</v>
      </c>
      <c r="V13" s="179">
        <v>2219.8857872592002</v>
      </c>
      <c r="W13" s="179">
        <v>28.401489654000002</v>
      </c>
      <c r="X13" s="179">
        <v>1458.5104070963998</v>
      </c>
      <c r="Y13" s="179">
        <v>2339.9125693751998</v>
      </c>
      <c r="Z13" s="179">
        <v>254.81880528239998</v>
      </c>
      <c r="AA13" s="179"/>
      <c r="AB13" s="178">
        <f t="shared" si="2"/>
        <v>13987.498864130401</v>
      </c>
      <c r="AC13" s="179">
        <v>9308.0172613699997</v>
      </c>
      <c r="AD13" s="179">
        <v>324.72242856999998</v>
      </c>
      <c r="AE13" s="179">
        <v>28.056969779999999</v>
      </c>
      <c r="AF13" s="179">
        <v>182.79584317999999</v>
      </c>
      <c r="AG13" s="179">
        <v>241.3650523</v>
      </c>
      <c r="AH13" s="179">
        <v>46.490438609999998</v>
      </c>
      <c r="AI13" s="179">
        <v>0</v>
      </c>
      <c r="AJ13" s="178">
        <f t="shared" si="3"/>
        <v>10131.447993809999</v>
      </c>
    </row>
    <row r="14" spans="1:36" s="172" customFormat="1" ht="14.25" customHeight="1">
      <c r="B14" s="173"/>
      <c r="C14" s="203" t="s">
        <v>538</v>
      </c>
      <c r="D14" s="626">
        <v>0</v>
      </c>
      <c r="E14" s="626">
        <v>0</v>
      </c>
      <c r="F14" s="626">
        <v>0</v>
      </c>
      <c r="G14" s="626">
        <v>0</v>
      </c>
      <c r="H14" s="626">
        <v>0</v>
      </c>
      <c r="I14" s="626">
        <v>0</v>
      </c>
      <c r="J14" s="179">
        <f>6576+37946.85</f>
        <v>44522.85</v>
      </c>
      <c r="K14" s="626">
        <v>0</v>
      </c>
      <c r="L14" s="178">
        <f t="shared" si="0"/>
        <v>44522.85</v>
      </c>
      <c r="M14" s="774" t="s">
        <v>361</v>
      </c>
      <c r="N14" s="768"/>
      <c r="O14" s="768"/>
      <c r="P14" s="768"/>
      <c r="Q14" s="768"/>
      <c r="R14" s="768"/>
      <c r="S14" s="768"/>
      <c r="T14" s="768" t="s">
        <v>539</v>
      </c>
      <c r="U14" s="768"/>
      <c r="V14" s="768"/>
      <c r="W14" s="768"/>
      <c r="X14" s="768"/>
      <c r="Y14" s="768"/>
      <c r="Z14" s="768"/>
      <c r="AA14" s="768"/>
      <c r="AB14" s="768"/>
      <c r="AC14" s="768"/>
      <c r="AD14" s="768"/>
      <c r="AE14" s="768"/>
      <c r="AF14" s="768"/>
      <c r="AG14" s="768"/>
      <c r="AH14" s="768"/>
      <c r="AI14" s="768"/>
      <c r="AJ14" s="768"/>
    </row>
    <row r="15" spans="1:36" s="172" customFormat="1" ht="14.25" customHeight="1">
      <c r="B15" s="173"/>
      <c r="C15" s="203" t="s">
        <v>540</v>
      </c>
      <c r="D15" s="626">
        <v>0</v>
      </c>
      <c r="E15" s="626">
        <v>0</v>
      </c>
      <c r="F15" s="626">
        <v>0</v>
      </c>
      <c r="G15" s="626">
        <v>0</v>
      </c>
      <c r="H15" s="626">
        <v>0</v>
      </c>
      <c r="I15" s="626">
        <v>0</v>
      </c>
      <c r="J15" s="179"/>
      <c r="K15" s="626">
        <v>0</v>
      </c>
      <c r="L15" s="178">
        <f t="shared" si="0"/>
        <v>0</v>
      </c>
      <c r="M15" s="377">
        <v>0</v>
      </c>
      <c r="N15" s="377">
        <v>0</v>
      </c>
      <c r="O15" s="377">
        <v>0</v>
      </c>
      <c r="P15" s="377">
        <v>0</v>
      </c>
      <c r="Q15" s="377">
        <v>0</v>
      </c>
      <c r="R15" s="377">
        <v>0</v>
      </c>
      <c r="S15" s="377">
        <v>0</v>
      </c>
      <c r="T15" s="377">
        <v>0</v>
      </c>
      <c r="U15" s="179">
        <v>0</v>
      </c>
      <c r="V15" s="179">
        <v>0</v>
      </c>
      <c r="W15" s="179">
        <v>0</v>
      </c>
      <c r="X15" s="179">
        <v>0</v>
      </c>
      <c r="Y15" s="179">
        <v>0</v>
      </c>
      <c r="Z15" s="179">
        <v>0</v>
      </c>
      <c r="AA15" s="179"/>
      <c r="AB15" s="178">
        <f>SUM(U15:AA15)</f>
        <v>0</v>
      </c>
      <c r="AC15" s="179">
        <v>0</v>
      </c>
      <c r="AD15" s="179">
        <v>0</v>
      </c>
      <c r="AE15" s="179">
        <v>0</v>
      </c>
      <c r="AF15" s="179">
        <v>0</v>
      </c>
      <c r="AG15" s="179">
        <v>0</v>
      </c>
      <c r="AH15" s="179">
        <v>0</v>
      </c>
      <c r="AI15" s="179">
        <v>0</v>
      </c>
      <c r="AJ15" s="178">
        <f t="shared" si="3"/>
        <v>0</v>
      </c>
    </row>
    <row r="16" spans="1:36" s="172" customFormat="1" ht="33" customHeight="1">
      <c r="B16" s="173"/>
      <c r="C16" s="203" t="s">
        <v>541</v>
      </c>
      <c r="D16" s="179">
        <v>4088.5805159102765</v>
      </c>
      <c r="E16" s="179">
        <v>3975.5210818988003</v>
      </c>
      <c r="F16" s="179">
        <v>0</v>
      </c>
      <c r="G16" s="179">
        <v>2771</v>
      </c>
      <c r="H16" s="179">
        <v>387</v>
      </c>
      <c r="I16" s="179">
        <v>888</v>
      </c>
      <c r="J16" s="626">
        <v>0</v>
      </c>
      <c r="K16" s="626">
        <v>0</v>
      </c>
      <c r="L16" s="178">
        <f t="shared" si="0"/>
        <v>12110.101597809076</v>
      </c>
      <c r="M16" s="377">
        <v>3698.720538720539</v>
      </c>
      <c r="N16" s="377">
        <v>3649.7494374505873</v>
      </c>
      <c r="O16" s="377">
        <v>0</v>
      </c>
      <c r="P16" s="377">
        <v>1486.6650633317299</v>
      </c>
      <c r="Q16" s="377">
        <v>11.514543353623814</v>
      </c>
      <c r="R16" s="377">
        <v>182.65152897336804</v>
      </c>
      <c r="S16" s="377">
        <v>0</v>
      </c>
      <c r="T16" s="377">
        <f>SUM(M16:S16)</f>
        <v>9029.3011118298491</v>
      </c>
      <c r="U16" s="179">
        <v>3490.9157283963718</v>
      </c>
      <c r="V16" s="179">
        <v>3086.446684243956</v>
      </c>
      <c r="W16" s="179">
        <v>0</v>
      </c>
      <c r="X16" s="179">
        <v>737.05867504462799</v>
      </c>
      <c r="Y16" s="179">
        <v>21.852648762876001</v>
      </c>
      <c r="Z16" s="179">
        <v>175.86152381892001</v>
      </c>
      <c r="AA16" s="179"/>
      <c r="AB16" s="178">
        <f>SUM(U16:AA16)</f>
        <v>7512.135260266753</v>
      </c>
      <c r="AC16" s="179">
        <v>2392.0452195696998</v>
      </c>
      <c r="AD16" s="179">
        <v>2548.2938316179998</v>
      </c>
      <c r="AE16" s="179">
        <v>0</v>
      </c>
      <c r="AF16" s="179">
        <v>391.31374113679999</v>
      </c>
      <c r="AG16" s="179">
        <v>22.5761787392</v>
      </c>
      <c r="AH16" s="179">
        <v>62.0476674624</v>
      </c>
      <c r="AI16" s="179">
        <v>0</v>
      </c>
      <c r="AJ16" s="178">
        <f t="shared" si="3"/>
        <v>5416.2766385260993</v>
      </c>
    </row>
    <row r="17" spans="2:41" s="172" customFormat="1" ht="33" customHeight="1">
      <c r="B17" s="173"/>
      <c r="C17" s="203" t="s">
        <v>542</v>
      </c>
      <c r="D17" s="626">
        <v>0</v>
      </c>
      <c r="E17" s="626">
        <v>0</v>
      </c>
      <c r="F17" s="626">
        <v>0</v>
      </c>
      <c r="G17" s="626">
        <v>0</v>
      </c>
      <c r="H17" s="626">
        <v>0</v>
      </c>
      <c r="I17" s="626">
        <v>0</v>
      </c>
      <c r="J17" s="179">
        <f>(1512480.07)/1000</f>
        <v>1512.4800700000001</v>
      </c>
      <c r="K17" s="626">
        <v>0</v>
      </c>
      <c r="L17" s="178">
        <f t="shared" si="0"/>
        <v>1512.4800700000001</v>
      </c>
      <c r="M17" s="774" t="s">
        <v>361</v>
      </c>
      <c r="N17" s="768"/>
      <c r="O17" s="768"/>
      <c r="P17" s="768"/>
      <c r="Q17" s="768"/>
      <c r="R17" s="768"/>
      <c r="S17" s="768"/>
      <c r="T17" s="769" t="s">
        <v>539</v>
      </c>
      <c r="U17" s="769"/>
      <c r="V17" s="769"/>
      <c r="W17" s="769"/>
      <c r="X17" s="769"/>
      <c r="Y17" s="769"/>
      <c r="Z17" s="769"/>
      <c r="AA17" s="769"/>
      <c r="AB17" s="769"/>
      <c r="AC17" s="769"/>
      <c r="AD17" s="769"/>
      <c r="AE17" s="769"/>
      <c r="AF17" s="769"/>
      <c r="AG17" s="769"/>
      <c r="AH17" s="769"/>
      <c r="AI17" s="769"/>
      <c r="AJ17" s="769"/>
    </row>
    <row r="18" spans="2:41" s="172" customFormat="1" ht="31" customHeight="1">
      <c r="B18" s="173"/>
      <c r="C18" s="203" t="s">
        <v>543</v>
      </c>
      <c r="D18" s="626">
        <v>0</v>
      </c>
      <c r="E18" s="626">
        <v>0</v>
      </c>
      <c r="F18" s="626">
        <v>0</v>
      </c>
      <c r="G18" s="626">
        <v>0</v>
      </c>
      <c r="H18" s="626">
        <v>0</v>
      </c>
      <c r="I18" s="626">
        <v>0</v>
      </c>
      <c r="J18" s="626">
        <v>0</v>
      </c>
      <c r="K18" s="179">
        <v>94</v>
      </c>
      <c r="L18" s="178">
        <f t="shared" si="0"/>
        <v>94</v>
      </c>
      <c r="M18" s="179">
        <v>0</v>
      </c>
      <c r="N18" s="179">
        <v>0</v>
      </c>
      <c r="O18" s="179">
        <v>0</v>
      </c>
      <c r="P18" s="179">
        <v>0</v>
      </c>
      <c r="Q18" s="179">
        <v>0</v>
      </c>
      <c r="R18" s="179">
        <v>0</v>
      </c>
      <c r="S18" s="179">
        <v>125</v>
      </c>
      <c r="T18" s="178">
        <f>SUM(M18:S18)</f>
        <v>125</v>
      </c>
      <c r="U18" s="179">
        <v>0</v>
      </c>
      <c r="V18" s="179">
        <v>0</v>
      </c>
      <c r="W18" s="179">
        <v>0</v>
      </c>
      <c r="X18" s="179">
        <v>0</v>
      </c>
      <c r="Y18" s="179"/>
      <c r="Z18" s="179">
        <v>0</v>
      </c>
      <c r="AA18" s="179">
        <v>89.513831908900002</v>
      </c>
      <c r="AB18" s="178">
        <f>SUM(U18:AA18)</f>
        <v>89.513831908900002</v>
      </c>
      <c r="AC18" s="179">
        <v>0</v>
      </c>
      <c r="AD18" s="179">
        <v>0</v>
      </c>
      <c r="AE18" s="179">
        <v>0</v>
      </c>
      <c r="AF18" s="179">
        <v>0</v>
      </c>
      <c r="AG18" s="179">
        <v>0</v>
      </c>
      <c r="AH18" s="179">
        <v>0</v>
      </c>
      <c r="AI18" s="179">
        <v>83.503456636400003</v>
      </c>
      <c r="AJ18" s="178">
        <f t="shared" si="3"/>
        <v>83.503456636400003</v>
      </c>
    </row>
    <row r="19" spans="2:41" s="172" customFormat="1" ht="14.25" customHeight="1">
      <c r="B19" s="173"/>
      <c r="C19" s="203" t="s">
        <v>544</v>
      </c>
      <c r="D19" s="373">
        <v>572</v>
      </c>
      <c r="E19" s="373">
        <v>85.33225625</v>
      </c>
      <c r="F19" s="373">
        <v>0</v>
      </c>
      <c r="G19" s="373">
        <v>2402</v>
      </c>
      <c r="H19" s="373">
        <v>625.68481693125</v>
      </c>
      <c r="I19" s="373">
        <v>271.48984583333299</v>
      </c>
      <c r="J19" s="626">
        <v>0</v>
      </c>
      <c r="K19" s="626">
        <v>0</v>
      </c>
      <c r="L19" s="353">
        <f t="shared" si="0"/>
        <v>3956.5069190145823</v>
      </c>
      <c r="M19" s="179">
        <v>721.45909007977968</v>
      </c>
      <c r="N19" s="179">
        <v>90.046939012456264</v>
      </c>
      <c r="O19" s="179">
        <v>0</v>
      </c>
      <c r="P19" s="179">
        <v>1899.6357112449068</v>
      </c>
      <c r="Q19" s="179">
        <v>287.74250440917109</v>
      </c>
      <c r="R19" s="179">
        <v>83.697345651368636</v>
      </c>
      <c r="S19" s="179">
        <v>0</v>
      </c>
      <c r="T19" s="178">
        <f t="shared" si="1"/>
        <v>3082.5815903976827</v>
      </c>
      <c r="U19" s="179">
        <v>351.92915804782803</v>
      </c>
      <c r="V19" s="179">
        <v>102.788382663804</v>
      </c>
      <c r="W19" s="179">
        <v>0</v>
      </c>
      <c r="X19" s="179">
        <v>3505.4780000000001</v>
      </c>
      <c r="Y19" s="179">
        <v>382.19600000000003</v>
      </c>
      <c r="Z19" s="179">
        <v>149.852</v>
      </c>
      <c r="AA19" s="179"/>
      <c r="AB19" s="178">
        <f t="shared" si="2"/>
        <v>4492.2435407116318</v>
      </c>
      <c r="AC19" s="179">
        <v>396.21622548869999</v>
      </c>
      <c r="AD19" s="179">
        <v>38.387602486600002</v>
      </c>
      <c r="AE19" s="179">
        <v>0</v>
      </c>
      <c r="AF19" s="179">
        <v>4.9961244499999999</v>
      </c>
      <c r="AG19" s="179">
        <v>60.242027357300003</v>
      </c>
      <c r="AH19" s="179">
        <v>0</v>
      </c>
      <c r="AI19" s="179">
        <v>0</v>
      </c>
      <c r="AJ19" s="178">
        <f t="shared" si="3"/>
        <v>499.84197978259999</v>
      </c>
    </row>
    <row r="20" spans="2:41" s="172" customFormat="1" ht="14.25" customHeight="1">
      <c r="B20" s="173"/>
      <c r="C20" s="203" t="s">
        <v>545</v>
      </c>
      <c r="D20" s="375">
        <f>('Community Relations'!D22)/1000</f>
        <v>212.10888471570161</v>
      </c>
      <c r="E20" s="375">
        <f>('Community Relations'!E22)/1000</f>
        <v>97.110470526864887</v>
      </c>
      <c r="F20" s="373">
        <v>0</v>
      </c>
      <c r="G20" s="375">
        <f>('Community Relations'!F22/1000)</f>
        <v>334.72868701095467</v>
      </c>
      <c r="H20" s="375">
        <f>'Community Relations'!H22/1000</f>
        <v>21.42149191444966</v>
      </c>
      <c r="I20" s="626">
        <v>0</v>
      </c>
      <c r="J20" s="626">
        <v>0</v>
      </c>
      <c r="K20" s="179">
        <f>'Community Relations'!I15/1000</f>
        <v>25.396000000000001</v>
      </c>
      <c r="L20" s="353">
        <f t="shared" si="0"/>
        <v>690.76553416797083</v>
      </c>
      <c r="M20" s="179">
        <v>366.66680764956629</v>
      </c>
      <c r="N20" s="179">
        <v>99.456311334472261</v>
      </c>
      <c r="O20" s="179">
        <v>0</v>
      </c>
      <c r="P20" s="179">
        <v>582.45106677060699</v>
      </c>
      <c r="Q20" s="179">
        <v>44.075124534894655</v>
      </c>
      <c r="R20" s="179">
        <v>0</v>
      </c>
      <c r="S20" s="179">
        <v>16.12</v>
      </c>
      <c r="T20" s="178">
        <f t="shared" si="1"/>
        <v>1108.76931028954</v>
      </c>
      <c r="U20" s="179">
        <v>482.75080982625599</v>
      </c>
      <c r="V20" s="179">
        <v>123.07754255921999</v>
      </c>
      <c r="W20" s="179">
        <v>0</v>
      </c>
      <c r="X20" s="179">
        <v>165.95855085137998</v>
      </c>
      <c r="Y20" s="179">
        <v>43.836584880000004</v>
      </c>
      <c r="Z20" s="179">
        <v>0</v>
      </c>
      <c r="AA20" s="179">
        <v>29</v>
      </c>
      <c r="AB20" s="178">
        <f t="shared" si="2"/>
        <v>844.62348811685604</v>
      </c>
      <c r="AC20" s="179">
        <f>'Community Relations'!W22</f>
        <v>220861.57222</v>
      </c>
      <c r="AD20" s="179">
        <f>'Community Relations'!X22</f>
        <v>99784.935819999999</v>
      </c>
      <c r="AE20" s="179">
        <f>'Community Relations'!Y22</f>
        <v>19713.717949999998</v>
      </c>
      <c r="AF20" s="179">
        <f>'Community Relations'!Z22</f>
        <v>23322.375400000001</v>
      </c>
      <c r="AG20" s="179">
        <f>'Community Relations'!AA22</f>
        <v>69484.989091356052</v>
      </c>
      <c r="AH20" s="179">
        <v>0</v>
      </c>
      <c r="AI20" s="179">
        <v>0</v>
      </c>
      <c r="AJ20" s="178">
        <f>SUM(AC20:AI20)/1000</f>
        <v>433.16759048135606</v>
      </c>
    </row>
    <row r="21" spans="2:41" s="172" customFormat="1" ht="14.25" customHeight="1">
      <c r="B21" s="182"/>
      <c r="C21" s="183" t="s">
        <v>546</v>
      </c>
      <c r="D21" s="180">
        <f>SUM(D10:D20)</f>
        <v>134824.2038210746</v>
      </c>
      <c r="E21" s="180">
        <f t="shared" ref="E21:J21" si="4">SUM(E10:E20)</f>
        <v>65316.149777898405</v>
      </c>
      <c r="F21" s="180">
        <f t="shared" si="4"/>
        <v>26.612832550860716</v>
      </c>
      <c r="G21" s="180">
        <f t="shared" si="4"/>
        <v>102850.88696846635</v>
      </c>
      <c r="H21" s="180">
        <f t="shared" si="4"/>
        <v>2586.0049071764251</v>
      </c>
      <c r="I21" s="180">
        <f t="shared" si="4"/>
        <v>7884.5137229404199</v>
      </c>
      <c r="J21" s="180">
        <f t="shared" si="4"/>
        <v>128612.41606999999</v>
      </c>
      <c r="K21" s="180">
        <f t="shared" ref="K21" si="5">SUM(K10:K20)</f>
        <v>4325.3959999999997</v>
      </c>
      <c r="L21" s="436">
        <f>SUM(L10:L20)</f>
        <v>446426.184100107</v>
      </c>
      <c r="M21" s="180">
        <f t="shared" ref="M21:S21" si="6">SUM(M10:M20)</f>
        <v>130537.98557827869</v>
      </c>
      <c r="N21" s="180">
        <f t="shared" si="6"/>
        <v>55321.198417674284</v>
      </c>
      <c r="O21" s="180">
        <f t="shared" si="6"/>
        <v>31.350947902672043</v>
      </c>
      <c r="P21" s="180">
        <f>SUM(P10:P20)</f>
        <v>14638.857716740478</v>
      </c>
      <c r="Q21" s="180">
        <f t="shared" si="6"/>
        <v>1096.2776091511726</v>
      </c>
      <c r="R21" s="180">
        <f t="shared" si="6"/>
        <v>1286.9578654636127</v>
      </c>
      <c r="S21" s="180">
        <f t="shared" si="6"/>
        <v>17306.12</v>
      </c>
      <c r="T21" s="181">
        <f t="shared" si="1"/>
        <v>220218.74813521092</v>
      </c>
      <c r="U21" s="180">
        <f t="shared" ref="U21:Z21" si="7">SUM(U10:U20)</f>
        <v>113422.5003322531</v>
      </c>
      <c r="V21" s="180">
        <f t="shared" si="7"/>
        <v>48866.391908959951</v>
      </c>
      <c r="W21" s="180">
        <f t="shared" si="7"/>
        <v>148.66984996229999</v>
      </c>
      <c r="X21" s="180">
        <f t="shared" si="7"/>
        <v>11706.689988883196</v>
      </c>
      <c r="Y21" s="180">
        <f t="shared" si="7"/>
        <v>2991.4118894020276</v>
      </c>
      <c r="Z21" s="180">
        <f t="shared" si="7"/>
        <v>1335.9407253742042</v>
      </c>
      <c r="AA21" s="180">
        <f>SUM(AA10:AA20)</f>
        <v>13291.5138319089</v>
      </c>
      <c r="AB21" s="181">
        <f t="shared" si="2"/>
        <v>191763.11852674367</v>
      </c>
      <c r="AC21" s="180">
        <f t="shared" ref="AC21:AI21" si="8">SUM(AC10:AC20)</f>
        <v>327666.05185865489</v>
      </c>
      <c r="AD21" s="180">
        <f t="shared" si="8"/>
        <v>147747.76077782919</v>
      </c>
      <c r="AE21" s="180">
        <f t="shared" si="8"/>
        <v>20092.104001180698</v>
      </c>
      <c r="AF21" s="180">
        <f t="shared" si="8"/>
        <v>27065.263578646001</v>
      </c>
      <c r="AG21" s="180">
        <f t="shared" si="8"/>
        <v>70227.71323605135</v>
      </c>
      <c r="AH21" s="180">
        <f t="shared" si="8"/>
        <v>366.82367102310002</v>
      </c>
      <c r="AI21" s="180">
        <f t="shared" si="8"/>
        <v>12193.503456636399</v>
      </c>
      <c r="AJ21" s="181">
        <f>SUM(AC21:AI21)</f>
        <v>605359.22058002162</v>
      </c>
      <c r="AK21" s="189"/>
      <c r="AL21" s="189"/>
    </row>
    <row r="22" spans="2:41" s="172" customFormat="1" ht="14.25" customHeight="1">
      <c r="B22" s="182"/>
      <c r="C22" s="183" t="s">
        <v>547</v>
      </c>
      <c r="D22" s="180">
        <f t="shared" ref="D22:J22" si="9">+D8-D21</f>
        <v>62883.796178925404</v>
      </c>
      <c r="E22" s="180">
        <f t="shared" si="9"/>
        <v>8915.8502221015951</v>
      </c>
      <c r="F22" s="180">
        <f t="shared" si="9"/>
        <v>-26.612832550860716</v>
      </c>
      <c r="G22" s="180">
        <f t="shared" si="9"/>
        <v>-18320.886968466351</v>
      </c>
      <c r="H22" s="180">
        <f t="shared" si="9"/>
        <v>-2586.0049071764251</v>
      </c>
      <c r="I22" s="180">
        <f t="shared" si="9"/>
        <v>-7884.5137229404199</v>
      </c>
      <c r="J22" s="180">
        <f t="shared" si="9"/>
        <v>-17555.416069999992</v>
      </c>
      <c r="K22" s="180">
        <f t="shared" ref="K22" si="10">+K8-K21</f>
        <v>-4325.3959999999997</v>
      </c>
      <c r="L22" s="436">
        <f>+L8-L21</f>
        <v>21100.815899893001</v>
      </c>
      <c r="M22" s="180">
        <f t="shared" ref="M22:S22" si="11">+M8-M21</f>
        <v>15846.872471292008</v>
      </c>
      <c r="N22" s="180">
        <f t="shared" si="11"/>
        <v>20962.703049100746</v>
      </c>
      <c r="O22" s="180">
        <f t="shared" si="11"/>
        <v>-31.350947902672043</v>
      </c>
      <c r="P22" s="180">
        <f t="shared" si="11"/>
        <v>-14638.857716740478</v>
      </c>
      <c r="Q22" s="180">
        <f t="shared" si="11"/>
        <v>-1096.2776091511726</v>
      </c>
      <c r="R22" s="180">
        <f t="shared" si="11"/>
        <v>-1286.9578654636127</v>
      </c>
      <c r="S22" s="180">
        <f t="shared" si="11"/>
        <v>-17306.12</v>
      </c>
      <c r="T22" s="181">
        <f t="shared" si="1"/>
        <v>2450.0113811348201</v>
      </c>
      <c r="U22" s="180">
        <f t="shared" ref="U22:Z22" si="12">+U8-U21</f>
        <v>37129.88142248326</v>
      </c>
      <c r="V22" s="180">
        <f t="shared" si="12"/>
        <v>6413.5388135438116</v>
      </c>
      <c r="W22" s="180">
        <f t="shared" si="12"/>
        <v>-148.66984996229999</v>
      </c>
      <c r="X22" s="180">
        <f t="shared" si="12"/>
        <v>-11706.689988883196</v>
      </c>
      <c r="Y22" s="180">
        <f t="shared" si="12"/>
        <v>-2991.4118894020276</v>
      </c>
      <c r="Z22" s="180">
        <f t="shared" si="12"/>
        <v>-1335.9407253742042</v>
      </c>
      <c r="AA22" s="180">
        <f>+AA8-AA21</f>
        <v>-13291.5138319089</v>
      </c>
      <c r="AB22" s="181">
        <f t="shared" si="2"/>
        <v>14069.193950496441</v>
      </c>
      <c r="AC22" s="180">
        <f t="shared" ref="AC22:AI22" si="13">+AC8-AC21</f>
        <v>-172879.32048085087</v>
      </c>
      <c r="AD22" s="180">
        <f t="shared" si="13"/>
        <v>-91006.255888269283</v>
      </c>
      <c r="AE22" s="180">
        <f t="shared" si="13"/>
        <v>-20092.104001180698</v>
      </c>
      <c r="AF22" s="180">
        <f t="shared" si="13"/>
        <v>-27065.263578646001</v>
      </c>
      <c r="AG22" s="180">
        <f t="shared" si="13"/>
        <v>-70227.71323605135</v>
      </c>
      <c r="AH22" s="180">
        <f t="shared" si="13"/>
        <v>-366.82367102310002</v>
      </c>
      <c r="AI22" s="180">
        <f t="shared" si="13"/>
        <v>-12193.503456636399</v>
      </c>
      <c r="AJ22" s="181">
        <f>SUM(AC22:AI22)</f>
        <v>-393830.98431265767</v>
      </c>
      <c r="AK22" s="189"/>
      <c r="AL22" s="189"/>
    </row>
    <row r="23" spans="2:41" ht="16">
      <c r="B23" s="642" t="s">
        <v>593</v>
      </c>
      <c r="C23" s="642"/>
      <c r="D23" s="642"/>
      <c r="E23" s="642"/>
      <c r="F23" s="642"/>
      <c r="G23" s="642"/>
      <c r="H23" s="642"/>
      <c r="I23" s="642"/>
      <c r="J23" s="642"/>
      <c r="K23" s="642"/>
      <c r="L23" s="642"/>
      <c r="M23" s="642"/>
      <c r="N23" s="642"/>
      <c r="O23" s="642"/>
      <c r="P23" s="642"/>
      <c r="Q23" s="642"/>
      <c r="R23" s="642"/>
      <c r="S23" s="642"/>
      <c r="T23" s="642"/>
      <c r="U23" s="642"/>
      <c r="V23" s="642"/>
      <c r="W23" s="642"/>
      <c r="X23" s="642"/>
      <c r="Y23" s="642"/>
      <c r="Z23" s="642"/>
      <c r="AA23" s="642"/>
      <c r="AB23" s="642"/>
      <c r="AC23" s="642"/>
      <c r="AD23" s="642"/>
      <c r="AE23" s="642"/>
      <c r="AF23" s="642"/>
      <c r="AG23" s="642"/>
      <c r="AH23" s="642"/>
      <c r="AI23" s="642"/>
      <c r="AJ23" s="642"/>
    </row>
    <row r="24" spans="2:41" ht="16">
      <c r="B24" s="686" t="s">
        <v>618</v>
      </c>
      <c r="C24" s="686"/>
      <c r="D24" s="686"/>
      <c r="E24" s="686"/>
      <c r="F24" s="686"/>
      <c r="G24" s="686"/>
      <c r="H24" s="686"/>
      <c r="I24" s="686"/>
      <c r="J24" s="686"/>
      <c r="K24" s="686"/>
      <c r="L24" s="686"/>
      <c r="M24" s="686"/>
      <c r="N24" s="686"/>
      <c r="O24" s="686"/>
      <c r="P24" s="686"/>
      <c r="Q24" s="686"/>
      <c r="R24" s="686"/>
      <c r="S24" s="686"/>
      <c r="T24" s="686"/>
      <c r="U24" s="686"/>
      <c r="V24" s="686"/>
      <c r="W24" s="686"/>
      <c r="X24" s="686"/>
      <c r="Y24" s="686"/>
      <c r="Z24" s="686"/>
      <c r="AA24" s="686"/>
      <c r="AB24" s="686"/>
      <c r="AC24" s="686"/>
      <c r="AD24" s="686"/>
      <c r="AE24" s="686"/>
      <c r="AF24" s="686"/>
      <c r="AG24" s="686"/>
      <c r="AH24" s="686"/>
      <c r="AI24" s="686"/>
      <c r="AJ24" s="686"/>
    </row>
    <row r="25" spans="2:41" s="172" customFormat="1" ht="16">
      <c r="B25" s="760" t="s">
        <v>619</v>
      </c>
      <c r="C25" s="760"/>
      <c r="D25" s="760"/>
      <c r="E25" s="760"/>
      <c r="F25" s="760"/>
      <c r="G25" s="760"/>
      <c r="H25" s="760"/>
      <c r="I25" s="760"/>
      <c r="J25" s="760"/>
      <c r="K25" s="760"/>
      <c r="L25" s="760"/>
      <c r="M25" s="760"/>
      <c r="N25" s="760"/>
      <c r="O25" s="760"/>
      <c r="P25" s="760"/>
      <c r="Q25" s="760"/>
      <c r="R25" s="760"/>
      <c r="S25" s="760"/>
      <c r="T25" s="760"/>
      <c r="U25" s="760"/>
      <c r="V25" s="760"/>
      <c r="W25" s="760"/>
      <c r="X25" s="760"/>
      <c r="Y25" s="760"/>
      <c r="Z25" s="760"/>
      <c r="AA25" s="760"/>
      <c r="AB25" s="760"/>
      <c r="AC25" s="760"/>
      <c r="AD25" s="760"/>
      <c r="AE25" s="760"/>
      <c r="AF25" s="760"/>
      <c r="AG25" s="760"/>
      <c r="AH25" s="760"/>
      <c r="AI25" s="760"/>
      <c r="AJ25" s="760"/>
      <c r="AK25" s="205"/>
      <c r="AL25" s="205"/>
      <c r="AM25" s="205"/>
      <c r="AN25" s="205"/>
      <c r="AO25" s="205"/>
    </row>
    <row r="26" spans="2:41" s="172" customFormat="1" ht="14.25" customHeight="1" thickBot="1">
      <c r="B26" s="314"/>
      <c r="C26" s="297"/>
      <c r="D26" s="315"/>
      <c r="E26" s="315"/>
      <c r="F26" s="315"/>
      <c r="G26" s="315"/>
      <c r="H26" s="315"/>
      <c r="I26" s="315"/>
      <c r="J26" s="315"/>
      <c r="K26" s="315"/>
      <c r="L26" s="316"/>
      <c r="M26" s="315"/>
      <c r="N26" s="315"/>
      <c r="O26" s="315"/>
      <c r="P26" s="315"/>
      <c r="Q26" s="315"/>
      <c r="R26" s="315"/>
      <c r="S26" s="315"/>
      <c r="T26" s="316"/>
      <c r="U26" s="316"/>
      <c r="V26" s="316"/>
      <c r="W26" s="316"/>
      <c r="X26" s="316"/>
      <c r="Y26" s="316"/>
      <c r="Z26" s="316"/>
      <c r="AA26" s="316"/>
      <c r="AB26" s="316"/>
      <c r="AC26" s="316"/>
      <c r="AD26" s="316"/>
      <c r="AE26" s="316"/>
      <c r="AF26" s="316"/>
      <c r="AG26" s="316"/>
      <c r="AH26" s="316"/>
      <c r="AI26" s="316"/>
      <c r="AJ26" s="317"/>
    </row>
    <row r="27" spans="2:41" s="234" customFormat="1" ht="48" customHeight="1">
      <c r="B27" s="645" t="s">
        <v>5</v>
      </c>
      <c r="C27" s="688"/>
      <c r="D27" s="321" t="s">
        <v>19</v>
      </c>
      <c r="E27" s="321" t="s">
        <v>20</v>
      </c>
      <c r="F27" s="321" t="s">
        <v>527</v>
      </c>
      <c r="G27" s="321" t="s">
        <v>21</v>
      </c>
      <c r="H27" s="322" t="s">
        <v>63</v>
      </c>
      <c r="I27" s="321" t="s">
        <v>62</v>
      </c>
      <c r="J27" s="376" t="s">
        <v>617</v>
      </c>
      <c r="K27" s="322" t="s">
        <v>64</v>
      </c>
      <c r="L27" s="289" t="s">
        <v>6</v>
      </c>
      <c r="M27" s="287" t="s">
        <v>19</v>
      </c>
      <c r="N27" s="287" t="s">
        <v>20</v>
      </c>
      <c r="O27" s="287" t="s">
        <v>527</v>
      </c>
      <c r="P27" s="287" t="s">
        <v>21</v>
      </c>
      <c r="Q27" s="287" t="s">
        <v>62</v>
      </c>
      <c r="R27" s="284" t="s">
        <v>63</v>
      </c>
      <c r="S27" s="284" t="s">
        <v>64</v>
      </c>
      <c r="T27" s="289" t="s">
        <v>7</v>
      </c>
      <c r="U27" s="287" t="s">
        <v>19</v>
      </c>
      <c r="V27" s="287" t="s">
        <v>20</v>
      </c>
      <c r="W27" s="287" t="s">
        <v>528</v>
      </c>
      <c r="X27" s="287" t="s">
        <v>21</v>
      </c>
      <c r="Y27" s="287" t="s">
        <v>23</v>
      </c>
      <c r="Z27" s="287" t="s">
        <v>529</v>
      </c>
      <c r="AA27" s="287" t="s">
        <v>251</v>
      </c>
      <c r="AB27" s="289" t="s">
        <v>8</v>
      </c>
      <c r="AC27" s="287" t="s">
        <v>19</v>
      </c>
      <c r="AD27" s="287" t="s">
        <v>20</v>
      </c>
      <c r="AE27" s="287" t="s">
        <v>528</v>
      </c>
      <c r="AF27" s="287" t="s">
        <v>21</v>
      </c>
      <c r="AG27" s="287" t="s">
        <v>23</v>
      </c>
      <c r="AH27" s="287" t="s">
        <v>529</v>
      </c>
      <c r="AI27" s="287" t="s">
        <v>251</v>
      </c>
      <c r="AJ27" s="289" t="s">
        <v>68</v>
      </c>
    </row>
    <row r="28" spans="2:41" ht="14.25" customHeight="1">
      <c r="B28" s="7" t="s">
        <v>548</v>
      </c>
      <c r="C28" s="8"/>
      <c r="D28" s="8"/>
      <c r="E28" s="8"/>
      <c r="F28" s="8"/>
      <c r="G28" s="8"/>
      <c r="H28" s="8"/>
      <c r="I28" s="8"/>
      <c r="J28" s="8"/>
      <c r="K28" s="8"/>
      <c r="L28" s="370"/>
      <c r="M28" s="8"/>
      <c r="N28" s="8"/>
      <c r="O28" s="8"/>
      <c r="P28" s="8"/>
      <c r="Q28" s="8"/>
      <c r="R28" s="8"/>
      <c r="S28" s="8"/>
      <c r="T28" s="8"/>
      <c r="U28" s="4"/>
      <c r="V28" s="4"/>
      <c r="W28" s="4"/>
      <c r="X28" s="4"/>
      <c r="Y28" s="4"/>
      <c r="Z28" s="4"/>
      <c r="AA28" s="4"/>
      <c r="AB28" s="4"/>
      <c r="AC28" s="4"/>
      <c r="AD28" s="4"/>
      <c r="AE28" s="4"/>
      <c r="AF28" s="4"/>
      <c r="AG28" s="4"/>
      <c r="AH28" s="4"/>
      <c r="AI28" s="4"/>
      <c r="AJ28" s="4"/>
    </row>
    <row r="29" spans="2:41" ht="14.25" customHeight="1">
      <c r="B29" s="9"/>
      <c r="C29" s="10" t="s">
        <v>549</v>
      </c>
      <c r="D29" s="38">
        <v>402992</v>
      </c>
      <c r="E29" s="38">
        <v>393940</v>
      </c>
      <c r="F29" s="652" t="s">
        <v>26</v>
      </c>
      <c r="G29" s="38">
        <v>338252</v>
      </c>
      <c r="H29" s="652" t="s">
        <v>26</v>
      </c>
      <c r="I29" s="652" t="s">
        <v>26</v>
      </c>
      <c r="J29" s="38">
        <v>745618</v>
      </c>
      <c r="K29" s="652" t="s">
        <v>26</v>
      </c>
      <c r="L29" s="11">
        <f t="shared" ref="L29:L35" si="14">SUM(D29:K29)</f>
        <v>1880802</v>
      </c>
      <c r="M29" s="38">
        <v>353793</v>
      </c>
      <c r="N29" s="38">
        <v>427646</v>
      </c>
      <c r="O29" s="652" t="s">
        <v>26</v>
      </c>
      <c r="P29" s="652" t="s">
        <v>26</v>
      </c>
      <c r="Q29" s="652" t="s">
        <v>26</v>
      </c>
      <c r="R29" s="652" t="s">
        <v>26</v>
      </c>
      <c r="S29" s="652" t="s">
        <v>26</v>
      </c>
      <c r="T29" s="11">
        <f t="shared" ref="T29:T35" si="15">SUM(M29:S29)</f>
        <v>781439</v>
      </c>
      <c r="U29" s="33">
        <v>433409</v>
      </c>
      <c r="V29" s="33">
        <v>440973</v>
      </c>
      <c r="W29" s="652" t="s">
        <v>26</v>
      </c>
      <c r="X29" s="652" t="s">
        <v>26</v>
      </c>
      <c r="Y29" s="652" t="s">
        <v>26</v>
      </c>
      <c r="Z29" s="652" t="s">
        <v>26</v>
      </c>
      <c r="AA29" s="652" t="s">
        <v>26</v>
      </c>
      <c r="AB29" s="11">
        <f t="shared" ref="AB29:AB35" si="16">SUM(U29:V29)</f>
        <v>874382</v>
      </c>
      <c r="AC29" s="12">
        <v>412303</v>
      </c>
      <c r="AD29" s="12">
        <v>422239</v>
      </c>
      <c r="AE29" s="12">
        <v>0</v>
      </c>
      <c r="AF29" s="111" t="s">
        <v>26</v>
      </c>
      <c r="AG29" s="111" t="s">
        <v>26</v>
      </c>
      <c r="AH29" s="111" t="s">
        <v>26</v>
      </c>
      <c r="AI29" s="111" t="s">
        <v>26</v>
      </c>
      <c r="AJ29" s="11">
        <f t="shared" ref="AJ29:AJ35" si="17">SUM(AC29:AD29)</f>
        <v>834542</v>
      </c>
    </row>
    <row r="30" spans="2:41" ht="14.25" customHeight="1">
      <c r="B30" s="9"/>
      <c r="C30" s="10" t="s">
        <v>550</v>
      </c>
      <c r="D30" s="38">
        <v>3915077</v>
      </c>
      <c r="E30" s="38">
        <v>608388</v>
      </c>
      <c r="F30" s="653"/>
      <c r="G30" s="38">
        <v>352002</v>
      </c>
      <c r="H30" s="786"/>
      <c r="I30" s="786"/>
      <c r="J30" s="38">
        <v>2361032</v>
      </c>
      <c r="K30" s="756"/>
      <c r="L30" s="11">
        <f t="shared" si="14"/>
        <v>7236499</v>
      </c>
      <c r="M30" s="38">
        <v>4019197</v>
      </c>
      <c r="N30" s="38">
        <v>452627</v>
      </c>
      <c r="O30" s="756"/>
      <c r="P30" s="756"/>
      <c r="Q30" s="756"/>
      <c r="R30" s="756"/>
      <c r="S30" s="756"/>
      <c r="T30" s="11">
        <f t="shared" si="15"/>
        <v>4471824</v>
      </c>
      <c r="U30" s="33">
        <v>5105237</v>
      </c>
      <c r="V30" s="33">
        <v>567466</v>
      </c>
      <c r="W30" s="756"/>
      <c r="X30" s="756"/>
      <c r="Y30" s="756"/>
      <c r="Z30" s="756"/>
      <c r="AA30" s="756"/>
      <c r="AB30" s="11">
        <f t="shared" si="16"/>
        <v>5672703</v>
      </c>
      <c r="AC30" s="12">
        <v>5340553</v>
      </c>
      <c r="AD30" s="12">
        <v>622892</v>
      </c>
      <c r="AE30" s="12">
        <v>0</v>
      </c>
      <c r="AF30" s="111" t="s">
        <v>26</v>
      </c>
      <c r="AG30" s="111" t="s">
        <v>26</v>
      </c>
      <c r="AH30" s="111" t="s">
        <v>26</v>
      </c>
      <c r="AI30" s="111" t="s">
        <v>26</v>
      </c>
      <c r="AJ30" s="11">
        <f t="shared" si="17"/>
        <v>5963445</v>
      </c>
    </row>
    <row r="31" spans="2:41" ht="14.25" customHeight="1">
      <c r="B31" s="9"/>
      <c r="C31" s="10" t="s">
        <v>551</v>
      </c>
      <c r="D31" s="38">
        <v>13747</v>
      </c>
      <c r="E31" s="38">
        <v>15270</v>
      </c>
      <c r="F31" s="653"/>
      <c r="G31" s="38">
        <v>8148</v>
      </c>
      <c r="H31" s="786"/>
      <c r="I31" s="786"/>
      <c r="J31" s="346">
        <v>0</v>
      </c>
      <c r="K31" s="756"/>
      <c r="L31" s="11">
        <f t="shared" si="14"/>
        <v>37165</v>
      </c>
      <c r="M31" s="38">
        <v>13817</v>
      </c>
      <c r="N31" s="38">
        <v>25230</v>
      </c>
      <c r="O31" s="756"/>
      <c r="P31" s="756"/>
      <c r="Q31" s="756"/>
      <c r="R31" s="756"/>
      <c r="S31" s="756"/>
      <c r="T31" s="11">
        <f t="shared" si="15"/>
        <v>39047</v>
      </c>
      <c r="U31" s="33">
        <v>14955</v>
      </c>
      <c r="V31" s="33">
        <v>22903</v>
      </c>
      <c r="W31" s="756"/>
      <c r="X31" s="756"/>
      <c r="Y31" s="756"/>
      <c r="Z31" s="756"/>
      <c r="AA31" s="756"/>
      <c r="AB31" s="11">
        <f t="shared" si="16"/>
        <v>37858</v>
      </c>
      <c r="AC31" s="12">
        <v>15735</v>
      </c>
      <c r="AD31" s="12">
        <v>21813</v>
      </c>
      <c r="AE31" s="12">
        <v>0</v>
      </c>
      <c r="AF31" s="111" t="s">
        <v>26</v>
      </c>
      <c r="AG31" s="111" t="s">
        <v>26</v>
      </c>
      <c r="AH31" s="111" t="s">
        <v>26</v>
      </c>
      <c r="AI31" s="111" t="s">
        <v>26</v>
      </c>
      <c r="AJ31" s="11">
        <f t="shared" si="17"/>
        <v>37548</v>
      </c>
    </row>
    <row r="32" spans="2:41" ht="14.25" customHeight="1">
      <c r="B32" s="9"/>
      <c r="C32" s="10" t="s">
        <v>552</v>
      </c>
      <c r="D32" s="625" t="s">
        <v>26</v>
      </c>
      <c r="E32" s="625" t="s">
        <v>26</v>
      </c>
      <c r="F32" s="653"/>
      <c r="G32" s="625" t="s">
        <v>26</v>
      </c>
      <c r="H32" s="786"/>
      <c r="I32" s="786"/>
      <c r="J32" s="38">
        <v>22110</v>
      </c>
      <c r="K32" s="756"/>
      <c r="L32" s="11">
        <f t="shared" si="14"/>
        <v>22110</v>
      </c>
      <c r="M32" s="38"/>
      <c r="N32" s="38"/>
      <c r="O32" s="756"/>
      <c r="P32" s="756"/>
      <c r="Q32" s="756"/>
      <c r="R32" s="756"/>
      <c r="S32" s="756"/>
      <c r="T32" s="11"/>
      <c r="U32" s="33"/>
      <c r="V32" s="33"/>
      <c r="W32" s="756"/>
      <c r="X32" s="756"/>
      <c r="Y32" s="756"/>
      <c r="Z32" s="756"/>
      <c r="AA32" s="756"/>
      <c r="AB32" s="11"/>
      <c r="AC32" s="12"/>
      <c r="AD32" s="12"/>
      <c r="AE32" s="12"/>
      <c r="AF32" s="111"/>
      <c r="AG32" s="111"/>
      <c r="AH32" s="111"/>
      <c r="AI32" s="111"/>
      <c r="AJ32" s="11"/>
    </row>
    <row r="33" spans="2:36" ht="14.25" customHeight="1">
      <c r="B33" s="9"/>
      <c r="C33" s="10" t="s">
        <v>553</v>
      </c>
      <c r="D33" s="625" t="s">
        <v>26</v>
      </c>
      <c r="E33" s="625" t="s">
        <v>26</v>
      </c>
      <c r="F33" s="653"/>
      <c r="G33" s="625" t="s">
        <v>26</v>
      </c>
      <c r="H33" s="786"/>
      <c r="I33" s="786"/>
      <c r="J33" s="38">
        <v>13668</v>
      </c>
      <c r="K33" s="756"/>
      <c r="L33" s="11">
        <f t="shared" si="14"/>
        <v>13668</v>
      </c>
      <c r="M33" s="38"/>
      <c r="N33" s="38"/>
      <c r="O33" s="756"/>
      <c r="P33" s="756"/>
      <c r="Q33" s="756"/>
      <c r="R33" s="756"/>
      <c r="S33" s="756"/>
      <c r="T33" s="11"/>
      <c r="U33" s="33"/>
      <c r="V33" s="33"/>
      <c r="W33" s="756"/>
      <c r="X33" s="756"/>
      <c r="Y33" s="756"/>
      <c r="Z33" s="756"/>
      <c r="AA33" s="756"/>
      <c r="AB33" s="11"/>
      <c r="AC33" s="12"/>
      <c r="AD33" s="12"/>
      <c r="AE33" s="12"/>
      <c r="AF33" s="111"/>
      <c r="AG33" s="111"/>
      <c r="AH33" s="111"/>
      <c r="AI33" s="111"/>
      <c r="AJ33" s="11"/>
    </row>
    <row r="34" spans="2:36" ht="14.25" customHeight="1">
      <c r="B34" s="9"/>
      <c r="C34" s="10" t="s">
        <v>554</v>
      </c>
      <c r="D34" s="625" t="s">
        <v>26</v>
      </c>
      <c r="E34" s="625" t="s">
        <v>26</v>
      </c>
      <c r="F34" s="653"/>
      <c r="G34" s="625" t="s">
        <v>26</v>
      </c>
      <c r="H34" s="786"/>
      <c r="I34" s="786"/>
      <c r="J34" s="38">
        <v>374</v>
      </c>
      <c r="K34" s="756"/>
      <c r="L34" s="11">
        <f t="shared" si="14"/>
        <v>374</v>
      </c>
      <c r="M34" s="38"/>
      <c r="N34" s="38"/>
      <c r="O34" s="756"/>
      <c r="P34" s="756"/>
      <c r="Q34" s="756"/>
      <c r="R34" s="756"/>
      <c r="S34" s="756"/>
      <c r="T34" s="11"/>
      <c r="U34" s="33"/>
      <c r="V34" s="33"/>
      <c r="W34" s="756"/>
      <c r="X34" s="756"/>
      <c r="Y34" s="756"/>
      <c r="Z34" s="756"/>
      <c r="AA34" s="756"/>
      <c r="AB34" s="11"/>
      <c r="AC34" s="12"/>
      <c r="AD34" s="12"/>
      <c r="AE34" s="12"/>
      <c r="AF34" s="111"/>
      <c r="AG34" s="111"/>
      <c r="AH34" s="111"/>
      <c r="AI34" s="111"/>
      <c r="AJ34" s="11"/>
    </row>
    <row r="35" spans="2:36" ht="14.25" customHeight="1">
      <c r="B35" s="9"/>
      <c r="C35" s="10" t="s">
        <v>620</v>
      </c>
      <c r="D35" s="38">
        <v>5014826</v>
      </c>
      <c r="E35" s="38">
        <v>1829957</v>
      </c>
      <c r="F35" s="654"/>
      <c r="G35" s="38">
        <v>1003822</v>
      </c>
      <c r="H35" s="787"/>
      <c r="I35" s="787"/>
      <c r="J35" s="38">
        <v>4961612</v>
      </c>
      <c r="K35" s="757"/>
      <c r="L35" s="11">
        <f t="shared" si="14"/>
        <v>12810217</v>
      </c>
      <c r="M35" s="38">
        <f>M30+(M31*80)</f>
        <v>5124557</v>
      </c>
      <c r="N35" s="38">
        <f>N30+(N31*80)</f>
        <v>2471027</v>
      </c>
      <c r="O35" s="757"/>
      <c r="P35" s="757"/>
      <c r="Q35" s="757"/>
      <c r="R35" s="757"/>
      <c r="S35" s="757"/>
      <c r="T35" s="11">
        <f t="shared" si="15"/>
        <v>7595584</v>
      </c>
      <c r="U35" s="33">
        <v>6301637</v>
      </c>
      <c r="V35" s="33">
        <v>2399706</v>
      </c>
      <c r="W35" s="757"/>
      <c r="X35" s="757"/>
      <c r="Y35" s="757"/>
      <c r="Z35" s="757"/>
      <c r="AA35" s="757"/>
      <c r="AB35" s="11">
        <f t="shared" si="16"/>
        <v>8701343</v>
      </c>
      <c r="AC35" s="12">
        <v>6599353</v>
      </c>
      <c r="AD35" s="12">
        <v>2367932</v>
      </c>
      <c r="AE35" s="12">
        <v>0</v>
      </c>
      <c r="AF35" s="111" t="s">
        <v>26</v>
      </c>
      <c r="AG35" s="111" t="s">
        <v>26</v>
      </c>
      <c r="AH35" s="111" t="s">
        <v>26</v>
      </c>
      <c r="AI35" s="111" t="s">
        <v>26</v>
      </c>
      <c r="AJ35" s="11">
        <f t="shared" si="17"/>
        <v>8967285</v>
      </c>
    </row>
    <row r="36" spans="2:36" ht="16">
      <c r="B36" s="642" t="s">
        <v>593</v>
      </c>
      <c r="C36" s="642"/>
      <c r="D36" s="642"/>
      <c r="E36" s="642"/>
      <c r="F36" s="642"/>
      <c r="G36" s="642"/>
      <c r="H36" s="642"/>
      <c r="I36" s="642"/>
      <c r="J36" s="642"/>
      <c r="K36" s="642"/>
      <c r="L36" s="642"/>
      <c r="M36" s="642"/>
      <c r="N36" s="642"/>
      <c r="O36" s="642"/>
      <c r="P36" s="642"/>
      <c r="Q36" s="642"/>
      <c r="R36" s="642"/>
      <c r="S36" s="642"/>
      <c r="T36" s="642"/>
      <c r="U36" s="642"/>
      <c r="V36" s="642"/>
      <c r="W36" s="642"/>
      <c r="X36" s="642"/>
      <c r="Y36" s="642"/>
      <c r="Z36" s="642"/>
      <c r="AA36" s="642"/>
      <c r="AB36" s="642"/>
      <c r="AC36" s="642"/>
      <c r="AD36" s="642"/>
      <c r="AE36" s="642"/>
      <c r="AF36" s="642"/>
      <c r="AG36" s="642"/>
      <c r="AH36" s="642"/>
      <c r="AI36" s="642"/>
      <c r="AJ36" s="642"/>
    </row>
    <row r="37" spans="2:36" ht="16">
      <c r="B37" s="760" t="s">
        <v>618</v>
      </c>
      <c r="C37" s="760"/>
      <c r="D37" s="760"/>
      <c r="E37" s="760"/>
      <c r="F37" s="760"/>
      <c r="G37" s="760"/>
      <c r="H37" s="760"/>
      <c r="I37" s="760"/>
      <c r="J37" s="760"/>
      <c r="K37" s="760"/>
      <c r="L37" s="760"/>
      <c r="M37" s="760"/>
      <c r="N37" s="760"/>
      <c r="O37" s="760"/>
      <c r="P37" s="760"/>
      <c r="Q37" s="760"/>
      <c r="R37" s="760"/>
      <c r="S37" s="760"/>
      <c r="T37" s="760"/>
      <c r="U37" s="760"/>
      <c r="V37" s="760"/>
      <c r="W37" s="760"/>
      <c r="X37" s="760"/>
      <c r="Y37" s="760"/>
      <c r="Z37" s="760"/>
      <c r="AA37" s="760"/>
      <c r="AB37" s="760"/>
      <c r="AC37" s="760"/>
      <c r="AD37" s="760"/>
      <c r="AE37" s="760"/>
      <c r="AF37" s="760"/>
      <c r="AG37" s="760"/>
      <c r="AH37" s="760"/>
      <c r="AI37" s="760"/>
      <c r="AJ37" s="760"/>
    </row>
    <row r="38" spans="2:36" ht="16">
      <c r="B38" s="760" t="s">
        <v>555</v>
      </c>
      <c r="C38" s="760"/>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row>
    <row r="39" spans="2:36" ht="14.25" customHeight="1" thickBot="1">
      <c r="B39" s="175"/>
      <c r="C39" s="286"/>
      <c r="D39" s="286"/>
      <c r="E39" s="286"/>
      <c r="F39" s="286"/>
      <c r="G39" s="286"/>
      <c r="H39" s="286"/>
      <c r="I39" s="286"/>
      <c r="J39" s="286"/>
      <c r="K39" s="286"/>
      <c r="L39" s="288"/>
      <c r="M39" s="286"/>
      <c r="N39" s="286"/>
      <c r="O39" s="286"/>
      <c r="P39" s="286"/>
      <c r="Q39" s="286"/>
      <c r="R39" s="286"/>
      <c r="S39" s="299"/>
      <c r="T39" s="288"/>
      <c r="U39" s="288"/>
      <c r="V39" s="288"/>
      <c r="W39" s="288"/>
      <c r="X39" s="288"/>
      <c r="Y39" s="288"/>
      <c r="Z39" s="288"/>
      <c r="AA39" s="288"/>
      <c r="AB39" s="288"/>
      <c r="AC39" s="288"/>
      <c r="AD39" s="288"/>
      <c r="AE39" s="288"/>
      <c r="AF39" s="288"/>
      <c r="AG39" s="288"/>
      <c r="AH39" s="288"/>
      <c r="AI39" s="288"/>
      <c r="AJ39" s="288"/>
    </row>
    <row r="40" spans="2:36" s="172" customFormat="1" ht="14.25" customHeight="1">
      <c r="B40" s="168" t="s">
        <v>556</v>
      </c>
      <c r="C40" s="169"/>
      <c r="D40" s="206"/>
      <c r="E40" s="206"/>
      <c r="F40" s="206"/>
      <c r="G40" s="206"/>
      <c r="H40" s="206"/>
      <c r="I40" s="206"/>
      <c r="J40" s="206"/>
      <c r="K40" s="206"/>
      <c r="L40" s="170"/>
      <c r="M40" s="206"/>
      <c r="N40" s="206"/>
      <c r="O40" s="206"/>
      <c r="P40" s="206"/>
      <c r="Q40" s="206"/>
      <c r="R40" s="206"/>
      <c r="S40" s="206"/>
      <c r="T40" s="170"/>
      <c r="U40" s="170"/>
      <c r="V40" s="170"/>
      <c r="W40" s="170"/>
      <c r="X40" s="170"/>
      <c r="Y40" s="170"/>
      <c r="Z40" s="170"/>
      <c r="AA40" s="170"/>
      <c r="AB40" s="170"/>
      <c r="AC40" s="170"/>
      <c r="AD40" s="170"/>
      <c r="AE40" s="170"/>
      <c r="AF40" s="170"/>
      <c r="AG40" s="170"/>
      <c r="AH40" s="170"/>
      <c r="AI40" s="170"/>
      <c r="AJ40" s="170"/>
    </row>
    <row r="41" spans="2:36" s="172" customFormat="1" ht="14.25" customHeight="1">
      <c r="B41" s="173"/>
      <c r="C41" s="174" t="s">
        <v>557</v>
      </c>
      <c r="D41" s="207">
        <v>1</v>
      </c>
      <c r="E41" s="207">
        <v>1</v>
      </c>
      <c r="F41" s="784" t="s">
        <v>26</v>
      </c>
      <c r="G41" s="207">
        <v>1</v>
      </c>
      <c r="H41" s="207">
        <v>1</v>
      </c>
      <c r="I41" s="207">
        <v>1</v>
      </c>
      <c r="J41" s="207">
        <v>1</v>
      </c>
      <c r="K41" s="766" t="s">
        <v>26</v>
      </c>
      <c r="L41" s="208">
        <f>SUM(D41:K41)</f>
        <v>6</v>
      </c>
      <c r="M41" s="207">
        <v>1</v>
      </c>
      <c r="N41" s="207">
        <v>1</v>
      </c>
      <c r="O41" s="766" t="s">
        <v>26</v>
      </c>
      <c r="P41" s="207">
        <v>1</v>
      </c>
      <c r="Q41" s="766" t="s">
        <v>26</v>
      </c>
      <c r="R41" s="207">
        <v>0</v>
      </c>
      <c r="S41" s="766" t="s">
        <v>26</v>
      </c>
      <c r="T41" s="208">
        <f>SUM(M41:S41)</f>
        <v>3</v>
      </c>
      <c r="U41" s="209">
        <v>1</v>
      </c>
      <c r="V41" s="209">
        <v>1</v>
      </c>
      <c r="W41" s="210">
        <v>0</v>
      </c>
      <c r="X41" s="209">
        <v>1</v>
      </c>
      <c r="Y41" s="211" t="s">
        <v>93</v>
      </c>
      <c r="Z41" s="209">
        <v>1</v>
      </c>
      <c r="AA41" s="767" t="s">
        <v>26</v>
      </c>
      <c r="AB41" s="212">
        <f>SUM(U41:AA41)</f>
        <v>4</v>
      </c>
      <c r="AC41" s="209">
        <v>1</v>
      </c>
      <c r="AD41" s="209">
        <v>1</v>
      </c>
      <c r="AE41" s="210">
        <v>0</v>
      </c>
      <c r="AF41" s="209">
        <v>1</v>
      </c>
      <c r="AG41" s="211" t="s">
        <v>93</v>
      </c>
      <c r="AH41" s="209">
        <v>1</v>
      </c>
      <c r="AI41" s="767" t="s">
        <v>26</v>
      </c>
      <c r="AJ41" s="212">
        <f>SUM(AC41:AI41)</f>
        <v>4</v>
      </c>
    </row>
    <row r="42" spans="2:36" s="172" customFormat="1" ht="14.25" customHeight="1">
      <c r="B42" s="173"/>
      <c r="C42" s="174" t="s">
        <v>558</v>
      </c>
      <c r="D42" s="345">
        <v>7317</v>
      </c>
      <c r="E42" s="173" t="s">
        <v>621</v>
      </c>
      <c r="F42" s="785"/>
      <c r="G42" s="345">
        <v>3776</v>
      </c>
      <c r="H42" s="345"/>
      <c r="I42" s="345">
        <v>51</v>
      </c>
      <c r="J42" s="179">
        <v>11180</v>
      </c>
      <c r="K42" s="757"/>
      <c r="L42" s="178">
        <f>SUM(D42:K42)</f>
        <v>22324</v>
      </c>
      <c r="M42" s="179">
        <v>5884</v>
      </c>
      <c r="N42" s="179">
        <v>3361</v>
      </c>
      <c r="O42" s="757"/>
      <c r="P42" s="179">
        <v>2345</v>
      </c>
      <c r="Q42" s="757"/>
      <c r="R42" s="179">
        <v>45</v>
      </c>
      <c r="S42" s="757"/>
      <c r="T42" s="178">
        <f>SUM(M42:S42)</f>
        <v>11635</v>
      </c>
      <c r="U42" s="179">
        <v>4204</v>
      </c>
      <c r="V42" s="179">
        <v>3185</v>
      </c>
      <c r="W42" s="179">
        <v>0</v>
      </c>
      <c r="X42" s="179">
        <v>1302</v>
      </c>
      <c r="Y42" s="213" t="s">
        <v>93</v>
      </c>
      <c r="Z42" s="179">
        <v>54</v>
      </c>
      <c r="AA42" s="757"/>
      <c r="AB42" s="178">
        <f>SUM(U42:AA42)</f>
        <v>8745</v>
      </c>
      <c r="AC42" s="179">
        <v>4103</v>
      </c>
      <c r="AD42" s="179">
        <v>3203</v>
      </c>
      <c r="AE42" s="179">
        <v>0</v>
      </c>
      <c r="AF42" s="179">
        <v>251</v>
      </c>
      <c r="AG42" s="213" t="s">
        <v>93</v>
      </c>
      <c r="AH42" s="179">
        <v>44</v>
      </c>
      <c r="AI42" s="757"/>
      <c r="AJ42" s="178">
        <f>SUM(AC42:AI42)</f>
        <v>7601</v>
      </c>
    </row>
    <row r="43" spans="2:36" ht="16">
      <c r="B43" s="642" t="s">
        <v>622</v>
      </c>
      <c r="C43" s="642"/>
      <c r="D43" s="642"/>
      <c r="E43" s="642"/>
      <c r="F43" s="642"/>
      <c r="G43" s="642"/>
      <c r="H43" s="642"/>
      <c r="I43" s="642"/>
      <c r="J43" s="642"/>
      <c r="K43" s="642"/>
      <c r="L43" s="642"/>
      <c r="M43" s="642"/>
      <c r="N43" s="642"/>
      <c r="O43" s="642"/>
      <c r="P43" s="642"/>
      <c r="Q43" s="642"/>
      <c r="R43" s="642"/>
      <c r="S43" s="642"/>
      <c r="T43" s="642"/>
      <c r="U43" s="642"/>
      <c r="V43" s="642"/>
      <c r="W43" s="642"/>
      <c r="X43" s="642"/>
      <c r="Y43" s="642"/>
      <c r="Z43" s="642"/>
      <c r="AA43" s="642"/>
      <c r="AB43" s="642"/>
      <c r="AC43" s="642"/>
      <c r="AD43" s="642"/>
      <c r="AE43" s="642"/>
      <c r="AF43" s="642"/>
      <c r="AG43" s="642"/>
      <c r="AH43" s="642"/>
      <c r="AI43" s="642"/>
      <c r="AJ43" s="642"/>
    </row>
    <row r="44" spans="2:36" ht="14.25" customHeight="1" thickBot="1">
      <c r="B44" s="175"/>
      <c r="C44" s="286"/>
      <c r="D44" s="286"/>
      <c r="E44" s="286"/>
      <c r="F44" s="286"/>
      <c r="G44" s="286"/>
      <c r="H44" s="286"/>
      <c r="I44" s="286"/>
      <c r="J44" s="286"/>
      <c r="K44" s="286"/>
      <c r="L44" s="288"/>
      <c r="M44" s="286"/>
      <c r="N44" s="286"/>
      <c r="O44" s="286"/>
      <c r="P44" s="286"/>
      <c r="Q44" s="286"/>
      <c r="R44" s="286"/>
      <c r="S44" s="299"/>
      <c r="T44" s="288"/>
      <c r="U44" s="288"/>
      <c r="V44" s="288"/>
      <c r="W44" s="288"/>
      <c r="X44" s="288"/>
      <c r="Y44" s="288"/>
      <c r="Z44" s="288"/>
      <c r="AA44" s="288"/>
      <c r="AB44" s="288"/>
      <c r="AC44" s="288"/>
      <c r="AD44" s="288"/>
      <c r="AE44" s="288"/>
      <c r="AF44" s="288"/>
      <c r="AG44" s="288"/>
      <c r="AH44" s="288"/>
      <c r="AI44" s="288"/>
      <c r="AJ44" s="288"/>
    </row>
    <row r="45" spans="2:36" s="172" customFormat="1" ht="14.25" customHeight="1">
      <c r="B45" s="168" t="s">
        <v>559</v>
      </c>
      <c r="C45" s="169"/>
      <c r="D45" s="206"/>
      <c r="E45" s="206"/>
      <c r="F45" s="206"/>
      <c r="G45" s="206"/>
      <c r="H45" s="206"/>
      <c r="I45" s="206"/>
      <c r="J45" s="206"/>
      <c r="K45" s="206"/>
      <c r="L45" s="170"/>
      <c r="M45" s="206"/>
      <c r="N45" s="206"/>
      <c r="O45" s="206"/>
      <c r="P45" s="206"/>
      <c r="Q45" s="206"/>
      <c r="R45" s="206"/>
      <c r="S45" s="206"/>
      <c r="T45" s="170"/>
      <c r="U45" s="170"/>
      <c r="V45" s="170"/>
      <c r="W45" s="170"/>
      <c r="X45" s="170"/>
      <c r="Y45" s="170"/>
      <c r="Z45" s="170"/>
      <c r="AA45" s="170"/>
      <c r="AB45" s="170"/>
      <c r="AC45" s="170"/>
      <c r="AD45" s="170"/>
      <c r="AE45" s="170"/>
      <c r="AF45" s="170"/>
      <c r="AG45" s="170"/>
      <c r="AH45" s="170"/>
      <c r="AI45" s="170"/>
      <c r="AJ45" s="170"/>
    </row>
    <row r="46" spans="2:36" s="172" customFormat="1" ht="14.25" customHeight="1">
      <c r="B46" s="173"/>
      <c r="C46" s="174" t="s">
        <v>560</v>
      </c>
      <c r="D46" s="179">
        <f t="shared" ref="D46:J46" si="18">D55+D61</f>
        <v>49638.625730549902</v>
      </c>
      <c r="E46" s="179">
        <f t="shared" si="18"/>
        <v>10883.652749483565</v>
      </c>
      <c r="F46" s="179">
        <f t="shared" si="18"/>
        <v>150.31535472091807</v>
      </c>
      <c r="G46" s="179">
        <f t="shared" si="18"/>
        <v>73728.681454534337</v>
      </c>
      <c r="H46" s="179">
        <f t="shared" si="18"/>
        <v>458.12406103286401</v>
      </c>
      <c r="I46" s="179">
        <f t="shared" si="18"/>
        <v>2449.0658726196616</v>
      </c>
      <c r="J46" s="179">
        <f t="shared" si="18"/>
        <v>8807.3549999999996</v>
      </c>
      <c r="K46" s="766" t="s">
        <v>26</v>
      </c>
      <c r="L46" s="178">
        <f>SUM(D46:J46)</f>
        <v>146115.82022294126</v>
      </c>
      <c r="M46" s="179">
        <f t="shared" ref="M46:R46" si="19">M55+M61</f>
        <v>27220.514836376904</v>
      </c>
      <c r="N46" s="179">
        <f t="shared" si="19"/>
        <v>13743.183283298225</v>
      </c>
      <c r="O46" s="179">
        <f t="shared" si="19"/>
        <v>113.35273921480818</v>
      </c>
      <c r="P46" s="179">
        <f t="shared" si="19"/>
        <v>77738.640150824067</v>
      </c>
      <c r="Q46" s="179">
        <f t="shared" si="19"/>
        <v>150.57753230167023</v>
      </c>
      <c r="R46" s="179">
        <f t="shared" si="19"/>
        <v>2342.4433165812479</v>
      </c>
      <c r="S46" s="766" t="s">
        <v>26</v>
      </c>
      <c r="T46" s="178">
        <f>SUM(M46:R46)</f>
        <v>121308.71185859693</v>
      </c>
      <c r="U46" s="179">
        <f t="shared" ref="U46:Z46" si="20">+U55+U61</f>
        <v>38072.783515845396</v>
      </c>
      <c r="V46" s="179">
        <f t="shared" si="20"/>
        <v>1084.620270973943</v>
      </c>
      <c r="W46" s="179">
        <f t="shared" si="20"/>
        <v>35.802412489631998</v>
      </c>
      <c r="X46" s="179">
        <f t="shared" si="20"/>
        <v>369.59157287886001</v>
      </c>
      <c r="Y46" s="179">
        <f t="shared" si="20"/>
        <v>22331.676185416552</v>
      </c>
      <c r="Z46" s="179">
        <f t="shared" si="20"/>
        <v>1436.0644115861751</v>
      </c>
      <c r="AA46" s="767" t="s">
        <v>26</v>
      </c>
      <c r="AB46" s="178">
        <f>SUM(U46:Z46)</f>
        <v>63330.538369190559</v>
      </c>
      <c r="AC46" s="179">
        <f t="shared" ref="AC46:AH46" si="21">+AC55+AC61</f>
        <v>38155.162810093694</v>
      </c>
      <c r="AD46" s="179">
        <f t="shared" si="21"/>
        <v>14271.860023429701</v>
      </c>
      <c r="AE46" s="179">
        <f t="shared" si="21"/>
        <v>10.4758010415</v>
      </c>
      <c r="AF46" s="179">
        <f t="shared" si="21"/>
        <v>299.07521644860009</v>
      </c>
      <c r="AG46" s="179">
        <f t="shared" si="21"/>
        <v>27210.954320233803</v>
      </c>
      <c r="AH46" s="179">
        <f t="shared" si="21"/>
        <v>423.22655282369999</v>
      </c>
      <c r="AI46" s="767" t="s">
        <v>26</v>
      </c>
      <c r="AJ46" s="178">
        <f>SUM(AC46:AH46)</f>
        <v>80370.754724071012</v>
      </c>
    </row>
    <row r="47" spans="2:36" s="172" customFormat="1" ht="14.25" customHeight="1">
      <c r="B47" s="173"/>
      <c r="C47" s="174" t="s">
        <v>561</v>
      </c>
      <c r="D47" s="179">
        <f t="shared" ref="D47:I47" si="22">D56+D62</f>
        <v>85180.357258931093</v>
      </c>
      <c r="E47" s="179">
        <f t="shared" si="22"/>
        <v>26242.172019531725</v>
      </c>
      <c r="F47" s="179">
        <f t="shared" si="22"/>
        <v>165.47516543820026</v>
      </c>
      <c r="G47" s="179">
        <f t="shared" si="22"/>
        <v>118656.51413954943</v>
      </c>
      <c r="H47" s="179">
        <f t="shared" si="22"/>
        <v>1037.9708930620768</v>
      </c>
      <c r="I47" s="179">
        <f t="shared" si="22"/>
        <v>7674.5660146536875</v>
      </c>
      <c r="J47" s="179">
        <f>J56+J62</f>
        <v>100837.46425</v>
      </c>
      <c r="K47" s="756"/>
      <c r="L47" s="178">
        <f>SUM(D47:J47)</f>
        <v>339794.51974116621</v>
      </c>
      <c r="M47" s="179">
        <f t="shared" ref="M47:R48" si="23">M56+M62</f>
        <v>94055.488934224559</v>
      </c>
      <c r="N47" s="179">
        <f t="shared" si="23"/>
        <v>23764.532572578548</v>
      </c>
      <c r="O47" s="179">
        <f t="shared" si="23"/>
        <v>148.38538643136346</v>
      </c>
      <c r="P47" s="179">
        <f t="shared" si="23"/>
        <v>106289.27451858488</v>
      </c>
      <c r="Q47" s="179">
        <f t="shared" si="23"/>
        <v>1401.5207355437242</v>
      </c>
      <c r="R47" s="179">
        <f t="shared" si="23"/>
        <v>4374.8541241644689</v>
      </c>
      <c r="S47" s="756"/>
      <c r="T47" s="178">
        <f>SUM(M47:R47)</f>
        <v>230034.05627152754</v>
      </c>
      <c r="U47" s="179">
        <f t="shared" ref="U47:Z47" si="24">+U56+U62</f>
        <v>90930.126556283503</v>
      </c>
      <c r="V47" s="179">
        <f t="shared" si="24"/>
        <v>38182.077778305204</v>
      </c>
      <c r="W47" s="179">
        <f t="shared" si="24"/>
        <v>141.234491756328</v>
      </c>
      <c r="X47" s="179">
        <f t="shared" si="24"/>
        <v>1989.3221121031959</v>
      </c>
      <c r="Y47" s="179">
        <f t="shared" si="24"/>
        <v>40632.764095444494</v>
      </c>
      <c r="Z47" s="179">
        <f t="shared" si="24"/>
        <v>1854.218042559376</v>
      </c>
      <c r="AA47" s="756"/>
      <c r="AB47" s="178">
        <f>SUM(U47:Z47)</f>
        <v>173729.74307645208</v>
      </c>
      <c r="AC47" s="179">
        <f t="shared" ref="AC47:AH47" si="25">+AC56+AC62</f>
        <v>64886.4623925821</v>
      </c>
      <c r="AD47" s="179">
        <f t="shared" si="25"/>
        <v>25943.9038301705</v>
      </c>
      <c r="AE47" s="179">
        <f t="shared" si="25"/>
        <v>169.81045598060001</v>
      </c>
      <c r="AF47" s="179">
        <f t="shared" si="25"/>
        <v>7577.2658984502004</v>
      </c>
      <c r="AG47" s="179">
        <f t="shared" si="25"/>
        <v>19330.430173347202</v>
      </c>
      <c r="AH47" s="179">
        <f t="shared" si="25"/>
        <v>714.07484237719996</v>
      </c>
      <c r="AI47" s="756"/>
      <c r="AJ47" s="178">
        <f>SUM(AC47:AH47)</f>
        <v>118621.9475929078</v>
      </c>
    </row>
    <row r="48" spans="2:36" s="172" customFormat="1" ht="14.25" customHeight="1">
      <c r="B48" s="173"/>
      <c r="C48" s="174" t="s">
        <v>562</v>
      </c>
      <c r="D48" s="179">
        <f t="shared" ref="D48:I48" si="26">D57+D63</f>
        <v>358.64970621642669</v>
      </c>
      <c r="E48" s="179">
        <f t="shared" si="26"/>
        <v>25.177096669139281</v>
      </c>
      <c r="F48" s="179">
        <f t="shared" si="26"/>
        <v>0</v>
      </c>
      <c r="G48" s="179">
        <f t="shared" si="26"/>
        <v>31221.636390655949</v>
      </c>
      <c r="H48" s="179">
        <f t="shared" si="26"/>
        <v>135.74944131455396</v>
      </c>
      <c r="I48" s="179">
        <f t="shared" si="26"/>
        <v>2074.862904400929</v>
      </c>
      <c r="J48" s="179">
        <f>J57+J63</f>
        <v>2849.9839499999998</v>
      </c>
      <c r="K48" s="756"/>
      <c r="L48" s="178">
        <f>SUM(D48:J48)</f>
        <v>36666.059489257001</v>
      </c>
      <c r="M48" s="179">
        <f t="shared" si="23"/>
        <v>347.6814671067545</v>
      </c>
      <c r="N48" s="179">
        <f t="shared" si="23"/>
        <v>33.346049438003462</v>
      </c>
      <c r="O48" s="179">
        <f t="shared" si="23"/>
        <v>0</v>
      </c>
      <c r="P48" s="179">
        <f t="shared" si="23"/>
        <v>16211.122500317902</v>
      </c>
      <c r="Q48" s="179">
        <f t="shared" si="23"/>
        <v>0</v>
      </c>
      <c r="R48" s="179">
        <f t="shared" si="23"/>
        <v>75.173243104277589</v>
      </c>
      <c r="S48" s="756"/>
      <c r="T48" s="178">
        <f>SUM(M48:R48)</f>
        <v>16667.323259966935</v>
      </c>
      <c r="U48" s="179">
        <f t="shared" ref="U48:Z48" si="27">+U57+U63</f>
        <v>788.21269568518801</v>
      </c>
      <c r="V48" s="179">
        <f t="shared" si="27"/>
        <v>137.26332559741201</v>
      </c>
      <c r="W48" s="179">
        <f t="shared" si="27"/>
        <v>0</v>
      </c>
      <c r="X48" s="179">
        <f t="shared" si="27"/>
        <v>22.174515754560002</v>
      </c>
      <c r="Y48" s="179">
        <f t="shared" si="27"/>
        <v>7261.8716219939406</v>
      </c>
      <c r="Z48" s="179">
        <f t="shared" si="27"/>
        <v>0</v>
      </c>
      <c r="AA48" s="756"/>
      <c r="AB48" s="178">
        <f>SUM(U48:Z48)</f>
        <v>8209.5221590311012</v>
      </c>
      <c r="AC48" s="179">
        <f t="shared" ref="AC48:AH48" si="28">+AC57+AC63</f>
        <v>961.83302284930005</v>
      </c>
      <c r="AD48" s="179">
        <f t="shared" si="28"/>
        <v>491.66725844690001</v>
      </c>
      <c r="AE48" s="179">
        <f t="shared" si="28"/>
        <v>0</v>
      </c>
      <c r="AF48" s="179">
        <f t="shared" si="28"/>
        <v>0</v>
      </c>
      <c r="AG48" s="179">
        <f t="shared" si="28"/>
        <v>21254.6203513646</v>
      </c>
      <c r="AH48" s="179">
        <f t="shared" si="28"/>
        <v>0</v>
      </c>
      <c r="AI48" s="756"/>
      <c r="AJ48" s="178">
        <f>SUM(AC48:AH48)</f>
        <v>22708.120632660801</v>
      </c>
    </row>
    <row r="49" spans="2:36" s="172" customFormat="1" ht="14.25" customHeight="1">
      <c r="B49" s="182"/>
      <c r="C49" s="214" t="s">
        <v>563</v>
      </c>
      <c r="D49" s="180">
        <f t="shared" ref="D49:I49" si="29">SUM(D46:D48)</f>
        <v>135177.63269569742</v>
      </c>
      <c r="E49" s="180">
        <f t="shared" si="29"/>
        <v>37151.001865684433</v>
      </c>
      <c r="F49" s="180">
        <f t="shared" si="29"/>
        <v>315.79052015911833</v>
      </c>
      <c r="G49" s="180">
        <f>SUM(G46:G48)</f>
        <v>223606.83198473969</v>
      </c>
      <c r="H49" s="180">
        <f t="shared" si="29"/>
        <v>1631.8443954094948</v>
      </c>
      <c r="I49" s="180">
        <f t="shared" si="29"/>
        <v>12198.494791674279</v>
      </c>
      <c r="J49" s="180">
        <f>SUM(J46:J48)</f>
        <v>112494.80319999999</v>
      </c>
      <c r="K49" s="756"/>
      <c r="L49" s="181">
        <f>SUM(D49:J49)</f>
        <v>522576.39945336443</v>
      </c>
      <c r="M49" s="180">
        <f t="shared" ref="M49:R49" si="30">SUM(M46:M48)</f>
        <v>121623.68523770823</v>
      </c>
      <c r="N49" s="180">
        <f t="shared" si="30"/>
        <v>37541.061905314775</v>
      </c>
      <c r="O49" s="180">
        <f t="shared" si="30"/>
        <v>261.73812564617162</v>
      </c>
      <c r="P49" s="180">
        <f t="shared" si="30"/>
        <v>200239.03716972683</v>
      </c>
      <c r="Q49" s="180">
        <f t="shared" si="30"/>
        <v>1552.0982678453945</v>
      </c>
      <c r="R49" s="180">
        <f t="shared" si="30"/>
        <v>6792.4706838499942</v>
      </c>
      <c r="S49" s="756"/>
      <c r="T49" s="181">
        <f>SUM(M49:R49)</f>
        <v>368010.0913900914</v>
      </c>
      <c r="U49" s="180">
        <f t="shared" ref="U49:Z49" si="31">SUM(U46:U48)</f>
        <v>129791.12276781409</v>
      </c>
      <c r="V49" s="180">
        <f t="shared" si="31"/>
        <v>39403.961374876562</v>
      </c>
      <c r="W49" s="180">
        <f t="shared" si="31"/>
        <v>177.03690424595999</v>
      </c>
      <c r="X49" s="180">
        <f t="shared" si="31"/>
        <v>2381.0882007366163</v>
      </c>
      <c r="Y49" s="180">
        <f t="shared" si="31"/>
        <v>70226.311902854985</v>
      </c>
      <c r="Z49" s="180">
        <f t="shared" si="31"/>
        <v>3290.2824541455511</v>
      </c>
      <c r="AA49" s="756"/>
      <c r="AB49" s="181">
        <f>SUM(U49:Z49)</f>
        <v>245269.80360467377</v>
      </c>
      <c r="AC49" s="180">
        <f t="shared" ref="AC49:AH49" si="32">SUM(AC46:AC48)</f>
        <v>104003.45822552509</v>
      </c>
      <c r="AD49" s="180">
        <f t="shared" si="32"/>
        <v>40707.431112047103</v>
      </c>
      <c r="AE49" s="180">
        <f t="shared" si="32"/>
        <v>180.28625702210002</v>
      </c>
      <c r="AF49" s="180">
        <f t="shared" si="32"/>
        <v>7876.3411148988007</v>
      </c>
      <c r="AG49" s="180">
        <f t="shared" si="32"/>
        <v>67796.004844945608</v>
      </c>
      <c r="AH49" s="180">
        <f t="shared" si="32"/>
        <v>1137.3013952009001</v>
      </c>
      <c r="AI49" s="756"/>
      <c r="AJ49" s="181">
        <f>SUM(AC49:AH49)</f>
        <v>221700.82294963958</v>
      </c>
    </row>
    <row r="50" spans="2:36" s="172" customFormat="1" ht="14.25" customHeight="1">
      <c r="B50" s="173"/>
      <c r="C50" s="174" t="s">
        <v>564</v>
      </c>
      <c r="D50" s="192">
        <f t="shared" ref="D50:J50" si="33">D46/D49</f>
        <v>0.3672103493800114</v>
      </c>
      <c r="E50" s="192">
        <f t="shared" si="33"/>
        <v>0.29295718023519995</v>
      </c>
      <c r="F50" s="192">
        <f t="shared" si="33"/>
        <v>0.47599704590618558</v>
      </c>
      <c r="G50" s="192">
        <f>G46/G49</f>
        <v>0.32972463676586605</v>
      </c>
      <c r="H50" s="192">
        <f t="shared" si="33"/>
        <v>0.28074004011755205</v>
      </c>
      <c r="I50" s="192">
        <f t="shared" si="33"/>
        <v>0.20076787459803638</v>
      </c>
      <c r="J50" s="192">
        <f t="shared" si="33"/>
        <v>7.8291216567060049E-2</v>
      </c>
      <c r="K50" s="756"/>
      <c r="L50" s="191">
        <f>L46/L49</f>
        <v>0.27960661900496114</v>
      </c>
      <c r="M50" s="192">
        <f t="shared" ref="M50:R50" si="34">M46/M49</f>
        <v>0.22380932450102614</v>
      </c>
      <c r="N50" s="192">
        <f t="shared" si="34"/>
        <v>0.36608403134575612</v>
      </c>
      <c r="O50" s="192">
        <f t="shared" si="34"/>
        <v>0.43307691202787585</v>
      </c>
      <c r="P50" s="192">
        <f t="shared" si="34"/>
        <v>0.38822919471457085</v>
      </c>
      <c r="Q50" s="192">
        <f t="shared" si="34"/>
        <v>9.7015463145062514E-2</v>
      </c>
      <c r="R50" s="192">
        <f t="shared" si="34"/>
        <v>0.34485880405059671</v>
      </c>
      <c r="S50" s="756"/>
      <c r="T50" s="191">
        <f t="shared" ref="T50:Z50" si="35">T46/T49</f>
        <v>0.32963419943288852</v>
      </c>
      <c r="U50" s="192">
        <f t="shared" si="35"/>
        <v>0.29333888715913609</v>
      </c>
      <c r="V50" s="192">
        <f t="shared" si="35"/>
        <v>2.752566577393618E-2</v>
      </c>
      <c r="W50" s="192">
        <f t="shared" si="35"/>
        <v>0.20223135194394937</v>
      </c>
      <c r="X50" s="192">
        <f t="shared" si="35"/>
        <v>0.15521960621388267</v>
      </c>
      <c r="Y50" s="192">
        <f t="shared" si="35"/>
        <v>0.31799585625838167</v>
      </c>
      <c r="Z50" s="192">
        <f t="shared" si="35"/>
        <v>0.43645627133829296</v>
      </c>
      <c r="AA50" s="756"/>
      <c r="AB50" s="191">
        <f t="shared" ref="AB50:AH50" si="36">AB46/AB49</f>
        <v>0.25820764496255239</v>
      </c>
      <c r="AC50" s="192">
        <f t="shared" si="36"/>
        <v>0.36686436644593662</v>
      </c>
      <c r="AD50" s="192">
        <f t="shared" si="36"/>
        <v>0.35059593871562272</v>
      </c>
      <c r="AE50" s="192">
        <f t="shared" si="36"/>
        <v>5.8106486953222652E-2</v>
      </c>
      <c r="AF50" s="192">
        <f t="shared" si="36"/>
        <v>3.7971338732761671E-2</v>
      </c>
      <c r="AG50" s="192">
        <f t="shared" si="36"/>
        <v>0.4013651598271496</v>
      </c>
      <c r="AH50" s="192">
        <f t="shared" si="36"/>
        <v>0.37213227259686832</v>
      </c>
      <c r="AI50" s="756"/>
      <c r="AJ50" s="191">
        <f t="shared" ref="AJ50" si="37">AJ46/AJ49</f>
        <v>0.36251897333880273</v>
      </c>
    </row>
    <row r="51" spans="2:36" s="172" customFormat="1" ht="14.25" customHeight="1">
      <c r="B51" s="173"/>
      <c r="C51" s="174" t="s">
        <v>561</v>
      </c>
      <c r="D51" s="192">
        <f t="shared" ref="D51:J51" si="38">D47/D49</f>
        <v>0.63013647716914267</v>
      </c>
      <c r="E51" s="192">
        <f t="shared" si="38"/>
        <v>0.7063651234603997</v>
      </c>
      <c r="F51" s="192">
        <f t="shared" si="38"/>
        <v>0.52400295409381448</v>
      </c>
      <c r="G51" s="192">
        <f>G47/G49</f>
        <v>0.53064798193486007</v>
      </c>
      <c r="H51" s="192">
        <f t="shared" si="38"/>
        <v>0.63607222354163773</v>
      </c>
      <c r="I51" s="192">
        <f t="shared" si="38"/>
        <v>0.62914041000302223</v>
      </c>
      <c r="J51" s="192">
        <f t="shared" si="38"/>
        <v>0.89637442247643317</v>
      </c>
      <c r="K51" s="756"/>
      <c r="L51" s="191">
        <f>L47/L49</f>
        <v>0.65022936377648266</v>
      </c>
      <c r="M51" s="192">
        <f t="shared" ref="M51:R51" si="39">M47/M49</f>
        <v>0.77333200971831417</v>
      </c>
      <c r="N51" s="192">
        <f t="shared" si="39"/>
        <v>0.63302771329476293</v>
      </c>
      <c r="O51" s="192">
        <f t="shared" si="39"/>
        <v>0.56692308797212421</v>
      </c>
      <c r="P51" s="192">
        <f t="shared" si="39"/>
        <v>0.5308119536576269</v>
      </c>
      <c r="Q51" s="192">
        <f t="shared" si="39"/>
        <v>0.9029845368549374</v>
      </c>
      <c r="R51" s="192">
        <f t="shared" si="39"/>
        <v>0.64407405313743471</v>
      </c>
      <c r="S51" s="756"/>
      <c r="T51" s="191">
        <f t="shared" ref="T51:Z51" si="40">T47/T49</f>
        <v>0.62507540323857858</v>
      </c>
      <c r="U51" s="192">
        <f t="shared" si="40"/>
        <v>0.70058818058728267</v>
      </c>
      <c r="V51" s="192">
        <f t="shared" si="40"/>
        <v>0.96899084371373845</v>
      </c>
      <c r="W51" s="192">
        <f t="shared" si="40"/>
        <v>0.79776864805605063</v>
      </c>
      <c r="X51" s="192">
        <f t="shared" si="40"/>
        <v>0.83546762840947131</v>
      </c>
      <c r="Y51" s="192">
        <f t="shared" si="40"/>
        <v>0.57859743726329171</v>
      </c>
      <c r="Z51" s="192">
        <f t="shared" si="40"/>
        <v>0.5635437286617071</v>
      </c>
      <c r="AA51" s="756"/>
      <c r="AB51" s="191">
        <f t="shared" ref="AB51:AH51" si="41">AB47/AB49</f>
        <v>0.70832096133802891</v>
      </c>
      <c r="AC51" s="192">
        <f t="shared" si="41"/>
        <v>0.62388754662253443</v>
      </c>
      <c r="AD51" s="192">
        <f t="shared" si="41"/>
        <v>0.63732598990980216</v>
      </c>
      <c r="AE51" s="192">
        <f t="shared" si="41"/>
        <v>0.94189351304677726</v>
      </c>
      <c r="AF51" s="192">
        <f t="shared" si="41"/>
        <v>0.96202866126723829</v>
      </c>
      <c r="AG51" s="192">
        <f t="shared" si="41"/>
        <v>0.28512639081841623</v>
      </c>
      <c r="AH51" s="192">
        <f t="shared" si="41"/>
        <v>0.62786772740313157</v>
      </c>
      <c r="AI51" s="756"/>
      <c r="AJ51" s="191">
        <f t="shared" ref="AJ51" si="42">AJ47/AJ49</f>
        <v>0.53505415999224037</v>
      </c>
    </row>
    <row r="52" spans="2:36" s="172" customFormat="1" ht="14.25" customHeight="1">
      <c r="B52" s="173"/>
      <c r="C52" s="174" t="s">
        <v>565</v>
      </c>
      <c r="D52" s="192">
        <f t="shared" ref="D52:I52" si="43">D48/D49</f>
        <v>2.6531734508459266E-3</v>
      </c>
      <c r="E52" s="192">
        <f t="shared" si="43"/>
        <v>6.7769630440020013E-4</v>
      </c>
      <c r="F52" s="192">
        <f t="shared" si="43"/>
        <v>0</v>
      </c>
      <c r="G52" s="192">
        <f>G48/G49</f>
        <v>0.13962738129927402</v>
      </c>
      <c r="H52" s="192">
        <f t="shared" si="43"/>
        <v>8.3187736340810253E-2</v>
      </c>
      <c r="I52" s="192">
        <f t="shared" si="43"/>
        <v>0.1700917153989413</v>
      </c>
      <c r="J52" s="192">
        <f>J48/J49</f>
        <v>2.5334360956506832E-2</v>
      </c>
      <c r="K52" s="757"/>
      <c r="L52" s="191">
        <f>L48/L49</f>
        <v>7.0164017218556265E-2</v>
      </c>
      <c r="M52" s="192">
        <f t="shared" ref="M52:R52" si="44">M48/M49</f>
        <v>2.8586657806596318E-3</v>
      </c>
      <c r="N52" s="192">
        <f t="shared" si="44"/>
        <v>8.8825535948098969E-4</v>
      </c>
      <c r="O52" s="192">
        <f t="shared" si="44"/>
        <v>0</v>
      </c>
      <c r="P52" s="192">
        <f t="shared" si="44"/>
        <v>8.0958851627802295E-2</v>
      </c>
      <c r="Q52" s="192">
        <f t="shared" si="44"/>
        <v>0</v>
      </c>
      <c r="R52" s="192">
        <f t="shared" si="44"/>
        <v>1.1067142811968553E-2</v>
      </c>
      <c r="S52" s="757"/>
      <c r="T52" s="191">
        <f t="shared" ref="T52:Z52" si="45">T48/T49</f>
        <v>4.5290397328532878E-2</v>
      </c>
      <c r="U52" s="192">
        <f t="shared" si="45"/>
        <v>6.0729322535812971E-3</v>
      </c>
      <c r="V52" s="192">
        <f t="shared" si="45"/>
        <v>3.4834905123252219E-3</v>
      </c>
      <c r="W52" s="192">
        <f t="shared" si="45"/>
        <v>0</v>
      </c>
      <c r="X52" s="192">
        <f t="shared" si="45"/>
        <v>9.3127653766458835E-3</v>
      </c>
      <c r="Y52" s="192">
        <f t="shared" si="45"/>
        <v>0.10340670647832663</v>
      </c>
      <c r="Z52" s="192">
        <f t="shared" si="45"/>
        <v>0</v>
      </c>
      <c r="AA52" s="757"/>
      <c r="AB52" s="191">
        <f t="shared" ref="AB52:AH52" si="46">AB48/AB49</f>
        <v>3.3471393699418546E-2</v>
      </c>
      <c r="AC52" s="192">
        <f t="shared" si="46"/>
        <v>9.2480869315289919E-3</v>
      </c>
      <c r="AD52" s="192">
        <f t="shared" si="46"/>
        <v>1.2078071374575004E-2</v>
      </c>
      <c r="AE52" s="192">
        <f t="shared" si="46"/>
        <v>0</v>
      </c>
      <c r="AF52" s="192">
        <f t="shared" si="46"/>
        <v>0</v>
      </c>
      <c r="AG52" s="192">
        <f t="shared" si="46"/>
        <v>0.31350844935443412</v>
      </c>
      <c r="AH52" s="192">
        <f t="shared" si="46"/>
        <v>0</v>
      </c>
      <c r="AI52" s="757"/>
      <c r="AJ52" s="191">
        <f t="shared" ref="AJ52" si="47">AJ48/AJ49</f>
        <v>0.10242686666895712</v>
      </c>
    </row>
    <row r="53" spans="2:36" s="172" customFormat="1" ht="14.25" customHeight="1" thickBot="1">
      <c r="B53" s="314"/>
      <c r="C53" s="297"/>
      <c r="D53" s="319"/>
      <c r="E53" s="319"/>
      <c r="F53" s="319"/>
      <c r="G53" s="319"/>
      <c r="H53" s="319"/>
      <c r="I53" s="319"/>
      <c r="J53" s="348"/>
      <c r="K53" s="320"/>
      <c r="L53" s="317"/>
      <c r="M53" s="319"/>
      <c r="N53" s="319"/>
      <c r="O53" s="319"/>
      <c r="P53" s="319"/>
      <c r="Q53" s="319"/>
      <c r="R53" s="319"/>
      <c r="S53" s="320"/>
      <c r="T53" s="347"/>
      <c r="U53" s="317"/>
      <c r="V53" s="317"/>
      <c r="W53" s="317"/>
      <c r="X53" s="317"/>
      <c r="Y53" s="317"/>
      <c r="Z53" s="317"/>
      <c r="AA53" s="317"/>
      <c r="AB53" s="317"/>
      <c r="AC53" s="317"/>
      <c r="AD53" s="317"/>
      <c r="AE53" s="317"/>
      <c r="AF53" s="317"/>
      <c r="AG53" s="317"/>
      <c r="AH53" s="317"/>
      <c r="AI53" s="317"/>
      <c r="AJ53" s="317"/>
    </row>
    <row r="54" spans="2:36" s="172" customFormat="1" ht="14.25" customHeight="1">
      <c r="B54" s="168" t="s">
        <v>566</v>
      </c>
      <c r="C54" s="169"/>
      <c r="D54" s="215"/>
      <c r="E54" s="215"/>
      <c r="F54" s="215"/>
      <c r="G54" s="215"/>
      <c r="H54" s="215"/>
      <c r="I54" s="215"/>
      <c r="J54" s="215"/>
      <c r="K54" s="216"/>
      <c r="L54" s="217"/>
      <c r="M54" s="215"/>
      <c r="N54" s="215"/>
      <c r="O54" s="215"/>
      <c r="P54" s="215"/>
      <c r="Q54" s="215"/>
      <c r="R54" s="215"/>
      <c r="S54" s="216"/>
      <c r="T54" s="217"/>
      <c r="U54" s="170"/>
      <c r="V54" s="170"/>
      <c r="W54" s="170"/>
      <c r="X54" s="170"/>
      <c r="Y54" s="170"/>
      <c r="Z54" s="170"/>
      <c r="AA54" s="170"/>
      <c r="AB54" s="170"/>
      <c r="AC54" s="170"/>
      <c r="AD54" s="170"/>
      <c r="AE54" s="170"/>
      <c r="AF54" s="170"/>
      <c r="AG54" s="170"/>
      <c r="AH54" s="170"/>
      <c r="AI54" s="170"/>
      <c r="AJ54" s="170"/>
    </row>
    <row r="55" spans="2:36" s="172" customFormat="1" ht="14.25" customHeight="1">
      <c r="B55" s="173"/>
      <c r="C55" s="174" t="s">
        <v>560</v>
      </c>
      <c r="D55" s="179">
        <v>30142.17344415409</v>
      </c>
      <c r="E55" s="179">
        <v>4479.1472413980227</v>
      </c>
      <c r="F55" s="179">
        <v>26.619770996348457</v>
      </c>
      <c r="G55" s="179">
        <v>35883.388615649317</v>
      </c>
      <c r="H55" s="179">
        <v>125.98730307772561</v>
      </c>
      <c r="I55" s="179">
        <v>1841.5930960328535</v>
      </c>
      <c r="J55" s="179"/>
      <c r="K55" s="766" t="s">
        <v>26</v>
      </c>
      <c r="L55" s="178">
        <f>SUM(D55:J55)</f>
        <v>72498.909471308361</v>
      </c>
      <c r="M55" s="179">
        <v>15855.794839473001</v>
      </c>
      <c r="N55" s="179">
        <v>5562.3535298247944</v>
      </c>
      <c r="O55" s="179">
        <v>2.7435272262858472</v>
      </c>
      <c r="P55" s="179">
        <v>41678.063226683924</v>
      </c>
      <c r="Q55" s="179">
        <v>134.30467786789626</v>
      </c>
      <c r="R55" s="179">
        <v>1920.1485572749941</v>
      </c>
      <c r="S55" s="766" t="s">
        <v>26</v>
      </c>
      <c r="T55" s="178">
        <f>SUM(M55:R55)</f>
        <v>65153.408358350898</v>
      </c>
      <c r="U55" s="179">
        <f>19494105.791124/1000</f>
        <v>19494.105791124002</v>
      </c>
      <c r="V55" s="179">
        <f>593664.684513468/1000</f>
        <v>593.66468451346793</v>
      </c>
      <c r="W55" s="179">
        <v>0</v>
      </c>
      <c r="X55" s="179">
        <f>276887.735039688/1000</f>
        <v>276.88773503968798</v>
      </c>
      <c r="Y55" s="179">
        <f>15127796.323628/1000</f>
        <v>15127.796323628001</v>
      </c>
      <c r="Z55" s="179">
        <f>865343.877446759/1000</f>
        <v>865.34387744675905</v>
      </c>
      <c r="AA55" s="767" t="s">
        <v>26</v>
      </c>
      <c r="AB55" s="178">
        <f>SUM(U55:Z55)</f>
        <v>36357.798411751915</v>
      </c>
      <c r="AC55" s="179">
        <v>19130.471722427799</v>
      </c>
      <c r="AD55" s="179">
        <v>4511.7119914351997</v>
      </c>
      <c r="AE55" s="179">
        <v>9.7343267415000003</v>
      </c>
      <c r="AF55" s="179">
        <v>208.1489799302</v>
      </c>
      <c r="AG55" s="179">
        <v>22504.987276810902</v>
      </c>
      <c r="AH55" s="179">
        <v>272.93217335140002</v>
      </c>
      <c r="AI55" s="767" t="s">
        <v>26</v>
      </c>
      <c r="AJ55" s="178">
        <f>SUM(AC55:AH55)</f>
        <v>46637.986470697004</v>
      </c>
    </row>
    <row r="56" spans="2:36" s="172" customFormat="1" ht="14.25" customHeight="1">
      <c r="B56" s="173"/>
      <c r="C56" s="174" t="s">
        <v>567</v>
      </c>
      <c r="D56" s="179">
        <v>41190.805155878428</v>
      </c>
      <c r="E56" s="179">
        <v>14158.045398258979</v>
      </c>
      <c r="F56" s="179">
        <v>0</v>
      </c>
      <c r="G56" s="179">
        <v>81229.333043065388</v>
      </c>
      <c r="H56" s="179">
        <v>56.412225352112664</v>
      </c>
      <c r="I56" s="179">
        <v>4990.6033142895658</v>
      </c>
      <c r="J56" s="179">
        <v>28658.7755</v>
      </c>
      <c r="K56" s="756"/>
      <c r="L56" s="178">
        <f>SUM(D56:J56)</f>
        <v>170283.97463684445</v>
      </c>
      <c r="M56" s="179">
        <v>37050.557573546081</v>
      </c>
      <c r="N56" s="179">
        <v>17638.836034123389</v>
      </c>
      <c r="O56" s="179">
        <v>33.974169721296157</v>
      </c>
      <c r="P56" s="179">
        <v>62373.618561089832</v>
      </c>
      <c r="Q56" s="179">
        <v>50.657312036622379</v>
      </c>
      <c r="R56" s="179">
        <v>1901.5858641145999</v>
      </c>
      <c r="S56" s="756"/>
      <c r="T56" s="178">
        <f>SUM(M56:R56)</f>
        <v>119049.22951463182</v>
      </c>
      <c r="U56" s="179">
        <f>37435494.8414702/1000</f>
        <v>37435.494841470194</v>
      </c>
      <c r="V56" s="179">
        <f>20588608.9050076/1000</f>
        <v>20588.608905007601</v>
      </c>
      <c r="W56" s="179">
        <f>7904.800276044/1000</f>
        <v>7.9048002760440008</v>
      </c>
      <c r="X56" s="179">
        <f>58214.043188016/1000</f>
        <v>58.214043188016007</v>
      </c>
      <c r="Y56" s="179">
        <f>23252650.9870253/1000</f>
        <v>23252.650987025299</v>
      </c>
      <c r="Z56" s="179">
        <f>1336260.77088172/1000</f>
        <v>1336.26077088172</v>
      </c>
      <c r="AA56" s="756"/>
      <c r="AB56" s="178">
        <f>SUM(U56:Z56)</f>
        <v>82679.134347848885</v>
      </c>
      <c r="AC56" s="179">
        <v>29244.437794654899</v>
      </c>
      <c r="AD56" s="179">
        <v>14886.072982260601</v>
      </c>
      <c r="AE56" s="179">
        <v>1.0914660832</v>
      </c>
      <c r="AF56" s="179">
        <v>6584.4594775384003</v>
      </c>
      <c r="AG56" s="179">
        <v>5579.7780234617003</v>
      </c>
      <c r="AH56" s="179">
        <v>515.27531330219995</v>
      </c>
      <c r="AI56" s="756"/>
      <c r="AJ56" s="178">
        <f>SUM(AC56:AH56)</f>
        <v>56811.115057301002</v>
      </c>
    </row>
    <row r="57" spans="2:36" s="172" customFormat="1" ht="14.25" customHeight="1">
      <c r="B57" s="173"/>
      <c r="C57" s="174" t="s">
        <v>562</v>
      </c>
      <c r="D57" s="179">
        <v>289.00157455335938</v>
      </c>
      <c r="E57" s="179">
        <v>20.432656019040166</v>
      </c>
      <c r="F57" s="179">
        <v>0</v>
      </c>
      <c r="G57" s="179">
        <v>1450.8003699337087</v>
      </c>
      <c r="H57" s="179">
        <v>0</v>
      </c>
      <c r="I57" s="179">
        <v>4.5686347417840372</v>
      </c>
      <c r="J57" s="179">
        <v>2348.7855</v>
      </c>
      <c r="K57" s="756"/>
      <c r="L57" s="178">
        <f>SUM(D57:J57)</f>
        <v>4113.5887352478921</v>
      </c>
      <c r="M57" s="179">
        <v>262.78643025769463</v>
      </c>
      <c r="N57" s="179">
        <v>11.622519668496681</v>
      </c>
      <c r="O57" s="179">
        <v>0</v>
      </c>
      <c r="P57" s="179">
        <v>4048.2147694791374</v>
      </c>
      <c r="Q57" s="179">
        <v>0</v>
      </c>
      <c r="R57" s="179">
        <v>0</v>
      </c>
      <c r="S57" s="756"/>
      <c r="T57" s="178">
        <f>SUM(M57:R57)</f>
        <v>4322.6237194053283</v>
      </c>
      <c r="U57" s="179">
        <f>356958.39237828/1000</f>
        <v>356.95839237828</v>
      </c>
      <c r="V57" s="179">
        <f>2979.13792104/1000</f>
        <v>2.97913792104</v>
      </c>
      <c r="W57" s="179">
        <v>0</v>
      </c>
      <c r="X57" s="179">
        <v>0</v>
      </c>
      <c r="Y57" s="179">
        <f>3347791.76637365/1000</f>
        <v>3347.7917663736503</v>
      </c>
      <c r="Z57" s="179">
        <v>0</v>
      </c>
      <c r="AA57" s="756"/>
      <c r="AB57" s="178">
        <f>SUM(U57:Z57)</f>
        <v>3707.7292966729701</v>
      </c>
      <c r="AC57" s="179">
        <v>830.4958108802</v>
      </c>
      <c r="AD57" s="179">
        <v>471.20057856689999</v>
      </c>
      <c r="AE57" s="179">
        <v>0</v>
      </c>
      <c r="AF57" s="179">
        <v>0</v>
      </c>
      <c r="AG57" s="179">
        <v>7087.5698874732998</v>
      </c>
      <c r="AH57" s="179">
        <v>0</v>
      </c>
      <c r="AI57" s="756"/>
      <c r="AJ57" s="178">
        <f>SUM(AC57:AH57)</f>
        <v>8389.2662769203998</v>
      </c>
    </row>
    <row r="58" spans="2:36" s="172" customFormat="1" ht="14.25" customHeight="1">
      <c r="B58" s="182"/>
      <c r="C58" s="183" t="s">
        <v>568</v>
      </c>
      <c r="D58" s="180">
        <v>71621.980174585857</v>
      </c>
      <c r="E58" s="180">
        <v>18657.62529567604</v>
      </c>
      <c r="F58" s="180">
        <v>26.619770996348457</v>
      </c>
      <c r="G58" s="180">
        <v>118563.52202864841</v>
      </c>
      <c r="H58" s="180">
        <v>182.39952842983828</v>
      </c>
      <c r="I58" s="180">
        <v>6836.7650450642032</v>
      </c>
      <c r="J58" s="180">
        <f>SUM(J55:J57)</f>
        <v>31007.561000000002</v>
      </c>
      <c r="K58" s="757"/>
      <c r="L58" s="181">
        <f>SUM(D58:J59)</f>
        <v>246896.47284340073</v>
      </c>
      <c r="M58" s="180">
        <f t="shared" ref="M58:R58" si="48">SUM(M55:M57)</f>
        <v>53169.138843276771</v>
      </c>
      <c r="N58" s="180">
        <f t="shared" si="48"/>
        <v>23212.812083616682</v>
      </c>
      <c r="O58" s="180">
        <f t="shared" si="48"/>
        <v>36.717696947582006</v>
      </c>
      <c r="P58" s="180">
        <f t="shared" si="48"/>
        <v>108099.8965572529</v>
      </c>
      <c r="Q58" s="180">
        <f t="shared" si="48"/>
        <v>184.96198990451865</v>
      </c>
      <c r="R58" s="180">
        <f t="shared" si="48"/>
        <v>3821.734421389594</v>
      </c>
      <c r="S58" s="757"/>
      <c r="T58" s="181">
        <f>SUM(M58:R59)</f>
        <v>188525.26159238804</v>
      </c>
      <c r="U58" s="180">
        <f t="shared" ref="U58:Z58" si="49">SUM(U55:U57)</f>
        <v>57286.559024972477</v>
      </c>
      <c r="V58" s="180">
        <f t="shared" si="49"/>
        <v>21185.252727442108</v>
      </c>
      <c r="W58" s="180">
        <f t="shared" si="49"/>
        <v>7.9048002760440008</v>
      </c>
      <c r="X58" s="180">
        <f t="shared" si="49"/>
        <v>335.10177822770402</v>
      </c>
      <c r="Y58" s="180">
        <f t="shared" si="49"/>
        <v>41728.239077026949</v>
      </c>
      <c r="Z58" s="180">
        <f t="shared" si="49"/>
        <v>2201.604648328479</v>
      </c>
      <c r="AA58" s="757"/>
      <c r="AB58" s="181">
        <f>SUM(U58:Z59)</f>
        <v>122744.66205627375</v>
      </c>
      <c r="AC58" s="180">
        <f t="shared" ref="AC58:AH58" si="50">SUM(AC55:AC57)</f>
        <v>49205.405327962901</v>
      </c>
      <c r="AD58" s="180">
        <f t="shared" si="50"/>
        <v>19868.9855522627</v>
      </c>
      <c r="AE58" s="180">
        <f t="shared" si="50"/>
        <v>10.825792824700001</v>
      </c>
      <c r="AF58" s="180">
        <f t="shared" si="50"/>
        <v>6792.6084574686001</v>
      </c>
      <c r="AG58" s="180">
        <f t="shared" si="50"/>
        <v>35172.335187745899</v>
      </c>
      <c r="AH58" s="180">
        <f t="shared" si="50"/>
        <v>788.20748665359997</v>
      </c>
      <c r="AI58" s="757"/>
      <c r="AJ58" s="218">
        <f>SUM(AC58:AH59)</f>
        <v>111838.36780491839</v>
      </c>
    </row>
    <row r="59" spans="2:36" s="172" customFormat="1" ht="14.25" customHeight="1" thickBot="1">
      <c r="B59" s="314"/>
      <c r="C59" s="297"/>
      <c r="D59" s="319"/>
      <c r="E59" s="319"/>
      <c r="F59" s="319"/>
      <c r="G59" s="319"/>
      <c r="H59" s="319"/>
      <c r="I59" s="319"/>
      <c r="J59" s="319"/>
      <c r="K59" s="320"/>
      <c r="L59" s="318"/>
      <c r="M59" s="319"/>
      <c r="N59" s="319"/>
      <c r="O59" s="319"/>
      <c r="P59" s="319"/>
      <c r="Q59" s="319"/>
      <c r="R59" s="319"/>
      <c r="S59" s="320"/>
      <c r="T59" s="318"/>
      <c r="U59" s="317"/>
      <c r="V59" s="317"/>
      <c r="W59" s="317"/>
      <c r="X59" s="317"/>
      <c r="Y59" s="317"/>
      <c r="Z59" s="317"/>
      <c r="AA59" s="317"/>
      <c r="AB59" s="318"/>
      <c r="AC59" s="317"/>
      <c r="AD59" s="317"/>
      <c r="AE59" s="317"/>
      <c r="AF59" s="317"/>
      <c r="AG59" s="317"/>
      <c r="AH59" s="317"/>
      <c r="AI59" s="317"/>
      <c r="AJ59" s="317"/>
    </row>
    <row r="60" spans="2:36" s="172" customFormat="1" ht="14.25" customHeight="1">
      <c r="B60" s="168" t="s">
        <v>569</v>
      </c>
      <c r="C60" s="169"/>
      <c r="D60" s="215"/>
      <c r="E60" s="215"/>
      <c r="F60" s="215"/>
      <c r="G60" s="215"/>
      <c r="H60" s="215"/>
      <c r="I60" s="215"/>
      <c r="J60" s="215"/>
      <c r="K60" s="216"/>
      <c r="L60" s="170"/>
      <c r="M60" s="215"/>
      <c r="N60" s="215"/>
      <c r="O60" s="215"/>
      <c r="P60" s="215"/>
      <c r="Q60" s="215"/>
      <c r="R60" s="215"/>
      <c r="S60" s="216"/>
      <c r="T60" s="170"/>
      <c r="U60" s="170"/>
      <c r="V60" s="170"/>
      <c r="W60" s="170"/>
      <c r="X60" s="170"/>
      <c r="Y60" s="170"/>
      <c r="Z60" s="170"/>
      <c r="AA60" s="170"/>
      <c r="AB60" s="170"/>
      <c r="AC60" s="170"/>
      <c r="AD60" s="170"/>
      <c r="AE60" s="170"/>
      <c r="AF60" s="170"/>
      <c r="AG60" s="170"/>
      <c r="AH60" s="170"/>
      <c r="AI60" s="170"/>
      <c r="AJ60" s="170"/>
    </row>
    <row r="61" spans="2:36" s="172" customFormat="1" ht="14.25" customHeight="1">
      <c r="B61" s="173"/>
      <c r="C61" s="174" t="s">
        <v>560</v>
      </c>
      <c r="D61" s="179">
        <v>19496.452286395812</v>
      </c>
      <c r="E61" s="179">
        <v>6404.5055080855427</v>
      </c>
      <c r="F61" s="179">
        <v>123.69558372456962</v>
      </c>
      <c r="G61" s="179">
        <v>37845.29283888502</v>
      </c>
      <c r="H61" s="179">
        <v>332.13675795513836</v>
      </c>
      <c r="I61" s="179">
        <v>607.4727765868081</v>
      </c>
      <c r="J61" s="179">
        <f>8807355/1000</f>
        <v>8807.3549999999996</v>
      </c>
      <c r="K61" s="766" t="s">
        <v>26</v>
      </c>
      <c r="L61" s="178">
        <f>SUM(D61:J61)</f>
        <v>73616.91075163288</v>
      </c>
      <c r="M61" s="179">
        <v>11364.719996903905</v>
      </c>
      <c r="N61" s="179">
        <v>8180.829753473432</v>
      </c>
      <c r="O61" s="179">
        <v>110.60921198852233</v>
      </c>
      <c r="P61" s="179">
        <v>36060.57692414015</v>
      </c>
      <c r="Q61" s="179">
        <v>16.272854433773976</v>
      </c>
      <c r="R61" s="179">
        <v>422.29475930625358</v>
      </c>
      <c r="S61" s="766" t="s">
        <v>26</v>
      </c>
      <c r="T61" s="178">
        <f>SUM(M61:R61)</f>
        <v>56155.303500246038</v>
      </c>
      <c r="U61" s="179">
        <f>18578677.7247214/1000</f>
        <v>18578.677724721398</v>
      </c>
      <c r="V61" s="179">
        <f>490955.586460475/1000</f>
        <v>490.95558646047499</v>
      </c>
      <c r="W61" s="179">
        <f>35802.412489632/1000</f>
        <v>35.802412489631998</v>
      </c>
      <c r="X61" s="179">
        <f>92703.837839172/1000</f>
        <v>92.70383783917201</v>
      </c>
      <c r="Y61" s="179">
        <f>7203879.86178855/1000</f>
        <v>7203.8798617885504</v>
      </c>
      <c r="Z61" s="179">
        <f>570720.534139416/1000</f>
        <v>570.72053413941592</v>
      </c>
      <c r="AA61" s="767" t="s">
        <v>26</v>
      </c>
      <c r="AB61" s="178">
        <f>SUM(U61:Z61)</f>
        <v>26972.739957438644</v>
      </c>
      <c r="AC61" s="179">
        <v>19024.691087665899</v>
      </c>
      <c r="AD61" s="179">
        <v>9760.1480319945003</v>
      </c>
      <c r="AE61" s="179">
        <v>0.74147430000000003</v>
      </c>
      <c r="AF61" s="179">
        <v>90.926236518400103</v>
      </c>
      <c r="AG61" s="179">
        <v>4705.9670434229001</v>
      </c>
      <c r="AH61" s="179">
        <v>150.29437947229999</v>
      </c>
      <c r="AI61" s="767" t="s">
        <v>26</v>
      </c>
      <c r="AJ61" s="178">
        <f>SUM(AC61:AH61)</f>
        <v>33732.768253374001</v>
      </c>
    </row>
    <row r="62" spans="2:36" s="172" customFormat="1" ht="14.25" customHeight="1">
      <c r="B62" s="173"/>
      <c r="C62" s="174" t="s">
        <v>567</v>
      </c>
      <c r="D62" s="179">
        <v>43989.552103052672</v>
      </c>
      <c r="E62" s="179">
        <v>12084.126621272744</v>
      </c>
      <c r="F62" s="179">
        <v>165.47516543820026</v>
      </c>
      <c r="G62" s="179">
        <v>37427.181096484041</v>
      </c>
      <c r="H62" s="179">
        <v>981.5586677099642</v>
      </c>
      <c r="I62" s="179">
        <v>2683.9627003641217</v>
      </c>
      <c r="J62" s="179">
        <f>72178688.75/1000</f>
        <v>72178.688750000001</v>
      </c>
      <c r="K62" s="756"/>
      <c r="L62" s="178">
        <f>SUM(D62:J62)</f>
        <v>169510.54510432173</v>
      </c>
      <c r="M62" s="179">
        <v>57004.931360678485</v>
      </c>
      <c r="N62" s="179">
        <v>6125.6965384551595</v>
      </c>
      <c r="O62" s="179">
        <v>114.41121671006729</v>
      </c>
      <c r="P62" s="179">
        <v>43915.655957495044</v>
      </c>
      <c r="Q62" s="179">
        <v>1350.8634235071017</v>
      </c>
      <c r="R62" s="179">
        <v>2473.2682600498692</v>
      </c>
      <c r="S62" s="756"/>
      <c r="T62" s="178">
        <f>SUM(M62:R62)</f>
        <v>110984.82675689572</v>
      </c>
      <c r="U62" s="179">
        <f>53494631.7148133/1000</f>
        <v>53494.631714813302</v>
      </c>
      <c r="V62" s="179">
        <f>17593468.8732976/1000</f>
        <v>17593.468873297599</v>
      </c>
      <c r="W62" s="179">
        <f>133329.691480284/1000</f>
        <v>133.329691480284</v>
      </c>
      <c r="X62" s="179">
        <f>1931108.06891518/1000</f>
        <v>1931.10806891518</v>
      </c>
      <c r="Y62" s="179">
        <f>17380113.1084192/1000</f>
        <v>17380.113108419198</v>
      </c>
      <c r="Z62" s="179">
        <f>517957.271677656/1000</f>
        <v>517.95727167765597</v>
      </c>
      <c r="AA62" s="756"/>
      <c r="AB62" s="178">
        <f>SUM(U62:Z62)</f>
        <v>91050.608728603227</v>
      </c>
      <c r="AC62" s="179">
        <v>35642.0245979272</v>
      </c>
      <c r="AD62" s="179">
        <v>11057.8308479099</v>
      </c>
      <c r="AE62" s="179">
        <v>168.71898989740001</v>
      </c>
      <c r="AF62" s="179">
        <v>992.80642091180005</v>
      </c>
      <c r="AG62" s="179">
        <v>13750.6521498855</v>
      </c>
      <c r="AH62" s="179">
        <v>198.79952907500001</v>
      </c>
      <c r="AI62" s="756"/>
      <c r="AJ62" s="178">
        <f>SUM(AC62:AH62)</f>
        <v>61810.832535606802</v>
      </c>
    </row>
    <row r="63" spans="2:36" s="172" customFormat="1" ht="14.25" customHeight="1">
      <c r="B63" s="173"/>
      <c r="C63" s="174" t="s">
        <v>562</v>
      </c>
      <c r="D63" s="179">
        <v>69.648131663067289</v>
      </c>
      <c r="E63" s="179">
        <v>4.7444406500991132</v>
      </c>
      <c r="F63" s="179">
        <v>0</v>
      </c>
      <c r="G63" s="179">
        <v>29770.836020722239</v>
      </c>
      <c r="H63" s="179">
        <v>135.74944131455396</v>
      </c>
      <c r="I63" s="179">
        <v>2070.2942696591449</v>
      </c>
      <c r="J63" s="179">
        <f>501198.45/1000</f>
        <v>501.19845000000004</v>
      </c>
      <c r="K63" s="756"/>
      <c r="L63" s="178">
        <f>SUM(D63:J63)</f>
        <v>32552.470754009104</v>
      </c>
      <c r="M63" s="179">
        <v>84.895036849059849</v>
      </c>
      <c r="N63" s="179">
        <v>21.723529769506783</v>
      </c>
      <c r="O63" s="179">
        <v>0</v>
      </c>
      <c r="P63" s="179">
        <v>12162.907730838766</v>
      </c>
      <c r="Q63" s="179">
        <v>0</v>
      </c>
      <c r="R63" s="179">
        <v>75.173243104277589</v>
      </c>
      <c r="S63" s="756"/>
      <c r="T63" s="178">
        <f>SUM(M63:R63)</f>
        <v>12344.699540561611</v>
      </c>
      <c r="U63" s="179">
        <f>431254.303306908/1000</f>
        <v>431.25430330690801</v>
      </c>
      <c r="V63" s="179">
        <f>134284.187676372/1000</f>
        <v>134.284187676372</v>
      </c>
      <c r="W63" s="179">
        <v>0</v>
      </c>
      <c r="X63" s="179">
        <f>22174.51575456/1000</f>
        <v>22.174515754560002</v>
      </c>
      <c r="Y63" s="179">
        <f>3914079.85562029/1000</f>
        <v>3914.0798556202903</v>
      </c>
      <c r="Z63" s="179">
        <v>0</v>
      </c>
      <c r="AA63" s="756"/>
      <c r="AB63" s="178">
        <f>SUM(U63:Z63)</f>
        <v>4501.7928623581302</v>
      </c>
      <c r="AC63" s="179">
        <v>131.3372119691</v>
      </c>
      <c r="AD63" s="179">
        <v>20.466679880000001</v>
      </c>
      <c r="AE63" s="179">
        <v>0</v>
      </c>
      <c r="AF63" s="179">
        <v>0</v>
      </c>
      <c r="AG63" s="179">
        <v>14167.050463891301</v>
      </c>
      <c r="AH63" s="179">
        <v>0</v>
      </c>
      <c r="AI63" s="756"/>
      <c r="AJ63" s="178">
        <f>SUM(AC63:AH63)</f>
        <v>14318.854355740401</v>
      </c>
    </row>
    <row r="64" spans="2:36" s="172" customFormat="1" ht="14.25" customHeight="1">
      <c r="B64" s="182"/>
      <c r="C64" s="183" t="s">
        <v>570</v>
      </c>
      <c r="D64" s="180">
        <v>63555.652521111559</v>
      </c>
      <c r="E64" s="180">
        <v>18493.376570008386</v>
      </c>
      <c r="F64" s="180">
        <v>289.17074916276988</v>
      </c>
      <c r="G64" s="180">
        <v>105043.30995609128</v>
      </c>
      <c r="H64" s="180">
        <v>1449.4448669796566</v>
      </c>
      <c r="I64" s="180">
        <v>5361.7297466100754</v>
      </c>
      <c r="J64" s="180">
        <f>SUM(J61:J63)</f>
        <v>81487.242199999993</v>
      </c>
      <c r="K64" s="757"/>
      <c r="L64" s="181">
        <f>SUM(D64:J64)</f>
        <v>275679.92660996376</v>
      </c>
      <c r="M64" s="180">
        <f t="shared" ref="M64:R64" si="51">SUM(M61:M63)</f>
        <v>68454.546394431454</v>
      </c>
      <c r="N64" s="180">
        <f t="shared" si="51"/>
        <v>14328.249821698098</v>
      </c>
      <c r="O64" s="180">
        <f t="shared" si="51"/>
        <v>225.02042869858963</v>
      </c>
      <c r="P64" s="180">
        <f t="shared" si="51"/>
        <v>92139.140612473959</v>
      </c>
      <c r="Q64" s="180">
        <f t="shared" si="51"/>
        <v>1367.1362779408757</v>
      </c>
      <c r="R64" s="180">
        <f t="shared" si="51"/>
        <v>2970.7362624604002</v>
      </c>
      <c r="S64" s="757"/>
      <c r="T64" s="181">
        <f>SUM(M64:R64)</f>
        <v>179484.82979770339</v>
      </c>
      <c r="U64" s="180">
        <f t="shared" ref="U64:Z64" si="52">SUM(U61:U63)</f>
        <v>72504.563742841608</v>
      </c>
      <c r="V64" s="180">
        <f t="shared" si="52"/>
        <v>18218.708647434443</v>
      </c>
      <c r="W64" s="180">
        <f t="shared" si="52"/>
        <v>169.13210396991599</v>
      </c>
      <c r="X64" s="180">
        <f t="shared" si="52"/>
        <v>2045.9864225089118</v>
      </c>
      <c r="Y64" s="180">
        <f t="shared" si="52"/>
        <v>28498.07282582804</v>
      </c>
      <c r="Z64" s="180">
        <f t="shared" si="52"/>
        <v>1088.6778058170719</v>
      </c>
      <c r="AA64" s="757"/>
      <c r="AB64" s="181">
        <f>SUM(U64:Z64)</f>
        <v>122525.14154839999</v>
      </c>
      <c r="AC64" s="180">
        <f t="shared" ref="AC64:AH64" si="53">SUM(AC61:AC63)</f>
        <v>54798.052897562193</v>
      </c>
      <c r="AD64" s="180">
        <f t="shared" si="53"/>
        <v>20838.445559784399</v>
      </c>
      <c r="AE64" s="180">
        <f t="shared" si="53"/>
        <v>169.4604641974</v>
      </c>
      <c r="AF64" s="180">
        <f t="shared" si="53"/>
        <v>1083.7326574302001</v>
      </c>
      <c r="AG64" s="180">
        <f t="shared" si="53"/>
        <v>32623.669657199702</v>
      </c>
      <c r="AH64" s="180">
        <f t="shared" si="53"/>
        <v>349.09390854729997</v>
      </c>
      <c r="AI64" s="757"/>
      <c r="AJ64" s="218">
        <f>SUM(AC64:AH64)</f>
        <v>109862.45514472119</v>
      </c>
    </row>
    <row r="65" spans="2:36" ht="13" customHeight="1" thickBot="1">
      <c r="B65" s="285"/>
      <c r="C65" s="286"/>
      <c r="D65" s="286"/>
      <c r="E65" s="286"/>
      <c r="F65" s="286"/>
      <c r="G65" s="286"/>
      <c r="H65" s="286"/>
      <c r="I65" s="286"/>
      <c r="J65" s="286"/>
      <c r="K65" s="286"/>
      <c r="L65" s="291"/>
      <c r="M65" s="286"/>
      <c r="N65" s="286"/>
      <c r="O65" s="286"/>
      <c r="P65" s="286"/>
      <c r="Q65" s="286"/>
      <c r="R65" s="286"/>
      <c r="S65" s="286"/>
      <c r="T65" s="291"/>
      <c r="U65" s="288"/>
      <c r="V65" s="288"/>
      <c r="W65" s="288"/>
      <c r="X65" s="288"/>
      <c r="Y65" s="288"/>
      <c r="Z65" s="288"/>
      <c r="AA65" s="288"/>
      <c r="AB65" s="291"/>
      <c r="AC65" s="288"/>
      <c r="AD65" s="288"/>
      <c r="AE65" s="288"/>
      <c r="AF65" s="288"/>
      <c r="AG65" s="288"/>
      <c r="AH65" s="288"/>
      <c r="AI65" s="288"/>
      <c r="AJ65" s="288"/>
    </row>
    <row r="66" spans="2:36" ht="14.25" customHeight="1">
      <c r="B66" s="7" t="s">
        <v>571</v>
      </c>
      <c r="C66" s="8"/>
      <c r="D66" s="8"/>
      <c r="E66" s="8"/>
      <c r="F66" s="8"/>
      <c r="G66" s="8"/>
      <c r="H66" s="8"/>
      <c r="I66" s="8"/>
      <c r="J66" s="8"/>
      <c r="K66" s="8"/>
      <c r="L66" s="4"/>
      <c r="M66" s="8"/>
      <c r="N66" s="8"/>
      <c r="O66" s="8"/>
      <c r="P66" s="8"/>
      <c r="Q66" s="8"/>
      <c r="R66" s="8"/>
      <c r="S66" s="8"/>
      <c r="T66" s="4"/>
      <c r="U66" s="4"/>
      <c r="V66" s="4"/>
      <c r="W66" s="4"/>
      <c r="X66" s="4"/>
      <c r="Y66" s="4"/>
      <c r="Z66" s="4"/>
      <c r="AA66" s="4"/>
      <c r="AB66" s="4"/>
      <c r="AC66" s="4"/>
      <c r="AD66" s="4"/>
      <c r="AE66" s="4"/>
      <c r="AF66" s="4"/>
      <c r="AG66" s="4"/>
      <c r="AH66" s="4"/>
      <c r="AI66" s="4"/>
      <c r="AJ66" s="4"/>
    </row>
    <row r="67" spans="2:36" ht="14.25" customHeight="1">
      <c r="B67" s="12"/>
      <c r="C67" s="38" t="s">
        <v>572</v>
      </c>
      <c r="D67" s="67">
        <v>1190</v>
      </c>
      <c r="E67" s="106" t="s">
        <v>26</v>
      </c>
      <c r="F67" s="106" t="s">
        <v>26</v>
      </c>
      <c r="G67" s="106" t="s">
        <v>26</v>
      </c>
      <c r="H67" s="106" t="s">
        <v>26</v>
      </c>
      <c r="I67" s="106" t="s">
        <v>26</v>
      </c>
      <c r="J67" s="106" t="s">
        <v>26</v>
      </c>
      <c r="K67" s="106" t="s">
        <v>26</v>
      </c>
      <c r="L67" s="34">
        <f>SUM(D67:J67)</f>
        <v>1190</v>
      </c>
      <c r="M67" s="67">
        <v>1015</v>
      </c>
      <c r="N67" s="35">
        <v>0</v>
      </c>
      <c r="O67" s="35">
        <v>0</v>
      </c>
      <c r="P67" s="35">
        <v>0</v>
      </c>
      <c r="Q67" s="35">
        <v>0</v>
      </c>
      <c r="R67" s="35">
        <v>0</v>
      </c>
      <c r="S67" s="35">
        <v>0</v>
      </c>
      <c r="T67" s="34">
        <f>SUM(M67:R67)</f>
        <v>1015</v>
      </c>
      <c r="U67" s="35">
        <v>1283</v>
      </c>
      <c r="V67" s="35">
        <v>0</v>
      </c>
      <c r="W67" s="35">
        <v>0</v>
      </c>
      <c r="X67" s="35">
        <v>0</v>
      </c>
      <c r="Y67" s="35">
        <v>0</v>
      </c>
      <c r="Z67" s="29" t="s">
        <v>26</v>
      </c>
      <c r="AA67" s="29" t="s">
        <v>26</v>
      </c>
      <c r="AB67" s="34">
        <f>SUM(U67:Z67)</f>
        <v>1283</v>
      </c>
      <c r="AC67" s="35">
        <v>1054</v>
      </c>
      <c r="AD67" s="35">
        <v>0</v>
      </c>
      <c r="AE67" s="35">
        <v>0</v>
      </c>
      <c r="AF67" s="35">
        <v>0</v>
      </c>
      <c r="AG67" s="35">
        <v>0</v>
      </c>
      <c r="AH67" s="29" t="s">
        <v>26</v>
      </c>
      <c r="AI67" s="29" t="s">
        <v>26</v>
      </c>
      <c r="AJ67" s="34">
        <f>SUM(AC67:AH67)</f>
        <v>1054</v>
      </c>
    </row>
    <row r="68" spans="2:36" ht="14.25" customHeight="1" thickBot="1">
      <c r="B68" s="286"/>
      <c r="C68" s="286"/>
      <c r="D68" s="286"/>
      <c r="E68" s="286"/>
      <c r="F68" s="286"/>
      <c r="G68" s="286"/>
      <c r="H68" s="286"/>
      <c r="I68" s="286"/>
      <c r="J68" s="286"/>
      <c r="K68" s="286"/>
      <c r="L68" s="288"/>
      <c r="M68" s="286"/>
      <c r="N68" s="286"/>
      <c r="O68" s="286"/>
      <c r="P68" s="286"/>
      <c r="Q68" s="286"/>
      <c r="R68" s="286"/>
      <c r="S68" s="286"/>
      <c r="T68" s="288"/>
      <c r="U68" s="288"/>
      <c r="V68" s="288"/>
      <c r="W68" s="288"/>
      <c r="X68" s="288"/>
      <c r="Y68" s="288"/>
      <c r="Z68" s="288"/>
      <c r="AA68" s="288"/>
      <c r="AB68" s="288"/>
      <c r="AC68" s="288"/>
      <c r="AD68" s="288"/>
      <c r="AE68" s="288"/>
      <c r="AF68" s="288"/>
      <c r="AG68" s="288"/>
      <c r="AH68" s="288"/>
      <c r="AI68" s="288"/>
      <c r="AJ68" s="288"/>
    </row>
    <row r="69" spans="2:36" ht="14.25" customHeight="1">
      <c r="B69" s="7" t="s">
        <v>573</v>
      </c>
      <c r="C69" s="8"/>
      <c r="D69" s="8"/>
      <c r="E69" s="8"/>
      <c r="F69" s="8"/>
      <c r="G69" s="8"/>
      <c r="H69" s="8"/>
      <c r="I69" s="8"/>
      <c r="J69" s="8"/>
      <c r="K69" s="8"/>
      <c r="L69" s="4"/>
      <c r="M69" s="4"/>
      <c r="N69" s="4"/>
      <c r="O69" s="4"/>
      <c r="P69" s="4"/>
      <c r="Q69" s="4"/>
      <c r="R69" s="4"/>
      <c r="S69" s="4"/>
      <c r="T69" s="4"/>
      <c r="U69" s="4"/>
      <c r="V69" s="4"/>
      <c r="W69" s="4"/>
      <c r="X69" s="4"/>
      <c r="Y69" s="4"/>
      <c r="Z69" s="4"/>
      <c r="AA69" s="4"/>
      <c r="AB69" s="4"/>
      <c r="AC69" s="4"/>
      <c r="AD69" s="4"/>
      <c r="AE69" s="4"/>
      <c r="AF69" s="4"/>
      <c r="AG69" s="4"/>
      <c r="AH69" s="4"/>
      <c r="AI69" s="4"/>
      <c r="AJ69" s="4"/>
    </row>
    <row r="70" spans="2:36" ht="14.25" customHeight="1">
      <c r="B70" s="12"/>
      <c r="C70" s="38" t="s">
        <v>574</v>
      </c>
      <c r="D70" s="775" t="s">
        <v>575</v>
      </c>
      <c r="E70" s="776"/>
      <c r="F70" s="776"/>
      <c r="G70" s="776"/>
      <c r="H70" s="776"/>
      <c r="I70" s="776"/>
      <c r="J70" s="776"/>
      <c r="K70" s="777"/>
      <c r="L70" s="11">
        <f>SUM(D70:K70)</f>
        <v>0</v>
      </c>
      <c r="M70" s="4"/>
      <c r="N70" s="4"/>
      <c r="O70" s="4"/>
      <c r="P70" s="4"/>
      <c r="Q70" s="4"/>
      <c r="R70" s="4"/>
      <c r="S70" s="4"/>
      <c r="T70" s="4"/>
      <c r="U70" s="4"/>
      <c r="V70" s="4"/>
      <c r="W70" s="4"/>
      <c r="X70" s="4"/>
      <c r="Y70" s="4"/>
      <c r="Z70" s="4"/>
      <c r="AA70" s="4"/>
      <c r="AB70" s="4"/>
      <c r="AC70" s="4"/>
      <c r="AD70" s="4"/>
      <c r="AE70" s="4"/>
      <c r="AF70" s="4"/>
      <c r="AG70" s="4"/>
      <c r="AH70" s="4"/>
      <c r="AI70" s="4"/>
      <c r="AJ70" s="4"/>
    </row>
    <row r="71" spans="2:36" ht="14.25" customHeight="1">
      <c r="B71" s="12"/>
      <c r="C71" s="38" t="s">
        <v>576</v>
      </c>
      <c r="D71" s="778"/>
      <c r="E71" s="779"/>
      <c r="F71" s="779"/>
      <c r="G71" s="779"/>
      <c r="H71" s="779"/>
      <c r="I71" s="779"/>
      <c r="J71" s="779"/>
      <c r="K71" s="780"/>
      <c r="L71" s="11">
        <f>SUM(D71:K71)</f>
        <v>0</v>
      </c>
      <c r="M71" s="4"/>
      <c r="N71" s="4"/>
      <c r="O71" s="4"/>
      <c r="P71" s="4"/>
      <c r="Q71" s="4"/>
      <c r="R71" s="4"/>
      <c r="S71" s="4"/>
      <c r="T71" s="4"/>
      <c r="U71" s="4"/>
      <c r="V71" s="4"/>
      <c r="W71" s="4"/>
      <c r="X71" s="4"/>
      <c r="Y71" s="4"/>
      <c r="Z71" s="4"/>
      <c r="AA71" s="4"/>
      <c r="AB71" s="4"/>
      <c r="AC71" s="4"/>
      <c r="AD71" s="4"/>
      <c r="AE71" s="4"/>
      <c r="AF71" s="4"/>
      <c r="AG71" s="4"/>
      <c r="AH71" s="4"/>
      <c r="AI71" s="4"/>
      <c r="AJ71" s="4"/>
    </row>
    <row r="72" spans="2:36" ht="14.25" customHeight="1">
      <c r="B72" s="12"/>
      <c r="C72" s="38" t="s">
        <v>577</v>
      </c>
      <c r="D72" s="778"/>
      <c r="E72" s="779"/>
      <c r="F72" s="779"/>
      <c r="G72" s="779"/>
      <c r="H72" s="779"/>
      <c r="I72" s="779"/>
      <c r="J72" s="779"/>
      <c r="K72" s="780"/>
      <c r="L72" s="11">
        <f>SUM(D72:K72)</f>
        <v>0</v>
      </c>
    </row>
    <row r="73" spans="2:36" ht="14.25" customHeight="1">
      <c r="B73" s="12"/>
      <c r="C73" s="38" t="s">
        <v>578</v>
      </c>
      <c r="D73" s="781"/>
      <c r="E73" s="782"/>
      <c r="F73" s="782"/>
      <c r="G73" s="782"/>
      <c r="H73" s="782"/>
      <c r="I73" s="782"/>
      <c r="J73" s="782"/>
      <c r="K73" s="783"/>
      <c r="L73" s="11">
        <f>SUM(D73:K73)</f>
        <v>0</v>
      </c>
    </row>
    <row r="74" spans="2:36" ht="16">
      <c r="B74" s="23" t="s">
        <v>579</v>
      </c>
      <c r="C74" s="23"/>
      <c r="D74" s="4"/>
      <c r="E74" s="4"/>
      <c r="F74" s="4"/>
      <c r="G74" s="4"/>
      <c r="H74" s="4"/>
      <c r="I74" s="4"/>
      <c r="J74" s="4"/>
      <c r="K74" s="4"/>
      <c r="L74" s="4"/>
    </row>
    <row r="75" spans="2:36" ht="14.25" customHeight="1" thickBot="1">
      <c r="B75" s="286"/>
      <c r="C75" s="286"/>
      <c r="D75" s="286"/>
      <c r="E75" s="286"/>
      <c r="F75" s="286"/>
      <c r="G75" s="286"/>
      <c r="H75" s="286"/>
      <c r="I75" s="286"/>
      <c r="J75" s="286"/>
      <c r="K75" s="286"/>
      <c r="L75" s="288"/>
    </row>
    <row r="76" spans="2:36" ht="14.25" customHeight="1">
      <c r="B76" s="7" t="s">
        <v>580</v>
      </c>
      <c r="C76" s="8"/>
      <c r="D76" s="8"/>
      <c r="E76" s="8"/>
      <c r="F76" s="8"/>
      <c r="G76" s="8"/>
      <c r="H76" s="8"/>
      <c r="I76" s="8"/>
      <c r="J76" s="8"/>
      <c r="K76" s="8"/>
      <c r="L76" s="4"/>
    </row>
    <row r="77" spans="2:36" ht="14.25" customHeight="1">
      <c r="B77" s="9"/>
      <c r="C77" s="10" t="s">
        <v>581</v>
      </c>
      <c r="D77" s="379">
        <v>0</v>
      </c>
      <c r="E77" s="379">
        <v>0</v>
      </c>
      <c r="F77" s="379">
        <v>0</v>
      </c>
      <c r="G77" s="379">
        <v>0</v>
      </c>
      <c r="H77" s="379">
        <v>0</v>
      </c>
      <c r="I77" s="379">
        <v>0</v>
      </c>
      <c r="J77" s="380">
        <v>7</v>
      </c>
      <c r="K77" s="379">
        <v>0</v>
      </c>
      <c r="L77" s="352">
        <f>SUM(D77:K77)</f>
        <v>7</v>
      </c>
    </row>
    <row r="78" spans="2:36" ht="14.25" customHeight="1">
      <c r="B78" s="9"/>
      <c r="C78" s="10" t="s">
        <v>582</v>
      </c>
      <c r="D78" s="195">
        <v>0</v>
      </c>
      <c r="E78" s="195">
        <v>0</v>
      </c>
      <c r="F78" s="195">
        <v>0</v>
      </c>
      <c r="G78" s="195">
        <v>0</v>
      </c>
      <c r="H78" s="195">
        <v>0</v>
      </c>
      <c r="I78" s="195">
        <v>0</v>
      </c>
      <c r="J78" s="195">
        <v>0</v>
      </c>
      <c r="K78" s="195">
        <v>0</v>
      </c>
      <c r="L78" s="194">
        <f>SUM(D78:K78)</f>
        <v>0</v>
      </c>
    </row>
    <row r="79" spans="2:36" ht="14.25" customHeight="1">
      <c r="B79" s="9"/>
      <c r="C79" s="10" t="s">
        <v>583</v>
      </c>
      <c r="D79" s="195">
        <v>0</v>
      </c>
      <c r="E79" s="195">
        <v>0</v>
      </c>
      <c r="F79" s="195">
        <v>0</v>
      </c>
      <c r="G79" s="195">
        <v>0</v>
      </c>
      <c r="H79" s="195">
        <v>0</v>
      </c>
      <c r="I79" s="195">
        <v>0</v>
      </c>
      <c r="J79" s="195">
        <v>0</v>
      </c>
      <c r="K79" s="195">
        <v>0</v>
      </c>
      <c r="L79" s="194">
        <f>SUM(D79:K79)</f>
        <v>0</v>
      </c>
    </row>
    <row r="80" spans="2:36" ht="14.25" customHeight="1">
      <c r="B80" s="23"/>
      <c r="C80" s="4"/>
      <c r="D80" s="4"/>
      <c r="E80" s="4"/>
      <c r="F80" s="4"/>
      <c r="G80" s="4"/>
      <c r="H80" s="4"/>
      <c r="I80" s="4"/>
      <c r="J80" s="4"/>
      <c r="K80" s="4"/>
      <c r="L80" s="4"/>
    </row>
    <row r="81" spans="2:36" ht="14.25" customHeight="1">
      <c r="B81" s="7" t="s">
        <v>584</v>
      </c>
      <c r="C81" s="8"/>
      <c r="D81" s="8"/>
      <c r="E81" s="8"/>
      <c r="F81" s="8"/>
      <c r="G81" s="8"/>
      <c r="H81" s="8"/>
      <c r="I81" s="8"/>
      <c r="J81" s="8"/>
      <c r="K81" s="8"/>
      <c r="L81" s="4"/>
    </row>
    <row r="82" spans="2:36" ht="14.25" customHeight="1">
      <c r="B82" s="9"/>
      <c r="C82" s="10" t="s">
        <v>581</v>
      </c>
      <c r="D82" s="379">
        <v>0</v>
      </c>
      <c r="E82" s="379">
        <v>0</v>
      </c>
      <c r="F82" s="379">
        <v>0</v>
      </c>
      <c r="G82" s="379">
        <v>0</v>
      </c>
      <c r="H82" s="379">
        <v>0</v>
      </c>
      <c r="I82" s="379">
        <v>0</v>
      </c>
      <c r="J82" s="66"/>
      <c r="K82" s="379">
        <v>0</v>
      </c>
      <c r="L82" s="352">
        <f>SUM(D82:K82)</f>
        <v>0</v>
      </c>
    </row>
    <row r="83" spans="2:36" ht="14.25" customHeight="1">
      <c r="B83" s="9"/>
      <c r="C83" s="10" t="s">
        <v>582</v>
      </c>
      <c r="D83" s="195">
        <v>0</v>
      </c>
      <c r="E83" s="195">
        <v>0</v>
      </c>
      <c r="F83" s="195">
        <v>0</v>
      </c>
      <c r="G83" s="195">
        <v>0</v>
      </c>
      <c r="H83" s="195">
        <v>0</v>
      </c>
      <c r="I83" s="195">
        <v>0</v>
      </c>
      <c r="J83" s="195">
        <v>0</v>
      </c>
      <c r="K83" s="195">
        <v>0</v>
      </c>
      <c r="L83" s="194">
        <f>SUM(D83:K83)</f>
        <v>0</v>
      </c>
    </row>
    <row r="84" spans="2:36" ht="14.25" customHeight="1">
      <c r="B84" s="9"/>
      <c r="C84" s="10" t="s">
        <v>583</v>
      </c>
      <c r="D84" s="195">
        <v>0</v>
      </c>
      <c r="E84" s="195">
        <v>0</v>
      </c>
      <c r="F84" s="195">
        <v>0</v>
      </c>
      <c r="G84" s="195">
        <v>0</v>
      </c>
      <c r="H84" s="195">
        <v>0</v>
      </c>
      <c r="I84" s="195">
        <v>0</v>
      </c>
      <c r="J84" s="195">
        <v>0</v>
      </c>
      <c r="K84" s="195">
        <v>0</v>
      </c>
      <c r="L84" s="194">
        <f>SUM(D84:K84)</f>
        <v>0</v>
      </c>
    </row>
    <row r="85" spans="2:36" ht="14.25" customHeight="1">
      <c r="B85" s="23"/>
      <c r="C85" s="4"/>
      <c r="D85" s="4"/>
      <c r="E85" s="4"/>
      <c r="F85" s="4"/>
      <c r="G85" s="4"/>
      <c r="H85" s="4"/>
      <c r="I85" s="4"/>
      <c r="J85" s="4"/>
      <c r="K85" s="4"/>
      <c r="L85" s="4"/>
    </row>
    <row r="86" spans="2:36" ht="14.25" customHeight="1">
      <c r="B86" s="7" t="s">
        <v>585</v>
      </c>
      <c r="C86" s="8"/>
      <c r="D86" s="8"/>
      <c r="E86" s="8"/>
      <c r="F86" s="8"/>
      <c r="G86" s="8"/>
      <c r="H86" s="8"/>
      <c r="I86" s="8"/>
      <c r="J86" s="8"/>
      <c r="K86" s="8"/>
      <c r="L86" s="4"/>
    </row>
    <row r="87" spans="2:36" ht="14.25" customHeight="1">
      <c r="B87" s="9"/>
      <c r="C87" s="10" t="s">
        <v>581</v>
      </c>
      <c r="D87" s="379">
        <v>0</v>
      </c>
      <c r="E87" s="379">
        <v>0</v>
      </c>
      <c r="F87" s="379">
        <v>0</v>
      </c>
      <c r="G87" s="379">
        <v>0</v>
      </c>
      <c r="H87" s="379">
        <v>0</v>
      </c>
      <c r="I87" s="379">
        <v>0</v>
      </c>
      <c r="J87" s="66"/>
      <c r="K87" s="379">
        <v>0</v>
      </c>
      <c r="L87" s="68">
        <f>SUM(D87:K87)</f>
        <v>0</v>
      </c>
    </row>
    <row r="88" spans="2:36" ht="14.25" customHeight="1">
      <c r="B88" s="9"/>
      <c r="C88" s="10" t="s">
        <v>582</v>
      </c>
      <c r="D88" s="195">
        <v>0</v>
      </c>
      <c r="E88" s="195">
        <v>0</v>
      </c>
      <c r="F88" s="195">
        <v>0</v>
      </c>
      <c r="G88" s="195">
        <v>0</v>
      </c>
      <c r="H88" s="195">
        <v>0</v>
      </c>
      <c r="I88" s="195">
        <v>0</v>
      </c>
      <c r="J88" s="195">
        <v>0</v>
      </c>
      <c r="K88" s="195">
        <v>0</v>
      </c>
      <c r="L88" s="65">
        <f>SUM(D88:K88)</f>
        <v>0</v>
      </c>
    </row>
    <row r="89" spans="2:36" ht="14.25" customHeight="1">
      <c r="B89" s="9"/>
      <c r="C89" s="10" t="s">
        <v>583</v>
      </c>
      <c r="D89" s="195">
        <v>0</v>
      </c>
      <c r="E89" s="195">
        <v>0</v>
      </c>
      <c r="F89" s="195">
        <v>0</v>
      </c>
      <c r="G89" s="195">
        <v>0</v>
      </c>
      <c r="H89" s="195">
        <v>0</v>
      </c>
      <c r="I89" s="195">
        <v>0</v>
      </c>
      <c r="J89" s="195">
        <v>0</v>
      </c>
      <c r="K89" s="195">
        <v>0</v>
      </c>
      <c r="L89" s="65">
        <f>SUM(D89:K89)</f>
        <v>0</v>
      </c>
    </row>
    <row r="90" spans="2:36" ht="14.25" customHeight="1">
      <c r="B90" s="23"/>
      <c r="C90" s="4"/>
      <c r="D90" s="4"/>
      <c r="E90" s="4"/>
      <c r="F90" s="4"/>
      <c r="G90" s="4"/>
      <c r="H90" s="4"/>
      <c r="I90" s="4"/>
      <c r="J90" s="4"/>
      <c r="K90" s="4"/>
      <c r="L90" s="4"/>
    </row>
    <row r="91" spans="2:36" ht="14.25" customHeight="1">
      <c r="B91" s="168" t="s">
        <v>586</v>
      </c>
      <c r="C91" s="8"/>
      <c r="D91" s="8"/>
      <c r="E91" s="8"/>
      <c r="F91" s="8"/>
      <c r="G91" s="8"/>
      <c r="H91" s="8"/>
      <c r="I91" s="8"/>
      <c r="J91" s="8"/>
      <c r="K91" s="8"/>
      <c r="L91" s="4"/>
      <c r="M91" s="8"/>
      <c r="N91" s="8"/>
      <c r="O91" s="8"/>
      <c r="P91" s="8"/>
      <c r="Q91" s="8"/>
      <c r="R91" s="8"/>
      <c r="S91" s="8"/>
      <c r="T91" s="4"/>
      <c r="U91" s="4"/>
      <c r="V91" s="4"/>
      <c r="W91" s="4"/>
      <c r="X91" s="4"/>
      <c r="Y91" s="4"/>
      <c r="Z91" s="4"/>
      <c r="AA91" s="4"/>
      <c r="AB91" s="4"/>
      <c r="AC91" s="4"/>
      <c r="AD91" s="4"/>
      <c r="AE91" s="4"/>
      <c r="AF91" s="4"/>
      <c r="AG91" s="4"/>
      <c r="AH91" s="4"/>
      <c r="AI91" s="4"/>
      <c r="AJ91" s="4"/>
    </row>
    <row r="92" spans="2:36" ht="14.25" customHeight="1">
      <c r="B92" s="9"/>
      <c r="C92" s="10" t="s">
        <v>587</v>
      </c>
      <c r="D92" s="69">
        <v>4</v>
      </c>
      <c r="E92" s="69">
        <v>4</v>
      </c>
      <c r="F92" s="69">
        <v>1</v>
      </c>
      <c r="G92" s="69">
        <v>3</v>
      </c>
      <c r="H92" s="69">
        <v>1</v>
      </c>
      <c r="I92" s="69">
        <v>0</v>
      </c>
      <c r="J92" s="69">
        <v>9</v>
      </c>
      <c r="K92" s="69">
        <v>0</v>
      </c>
      <c r="L92" s="68">
        <f>SUM(D92:K92)</f>
        <v>22</v>
      </c>
      <c r="M92" s="69">
        <v>1</v>
      </c>
      <c r="N92" s="69">
        <v>2</v>
      </c>
      <c r="O92" s="69">
        <v>0</v>
      </c>
      <c r="P92" s="69">
        <v>0</v>
      </c>
      <c r="Q92" s="69">
        <v>0</v>
      </c>
      <c r="R92" s="69">
        <v>0</v>
      </c>
      <c r="S92" s="69">
        <v>0</v>
      </c>
      <c r="T92" s="68">
        <f>SUM(M92:S92)</f>
        <v>3</v>
      </c>
      <c r="U92" s="69">
        <v>0</v>
      </c>
      <c r="V92" s="69">
        <v>0</v>
      </c>
      <c r="W92" s="69">
        <v>0</v>
      </c>
      <c r="X92" s="69">
        <v>0</v>
      </c>
      <c r="Y92" s="69">
        <v>0</v>
      </c>
      <c r="Z92" s="69">
        <v>0</v>
      </c>
      <c r="AA92" s="69">
        <v>0</v>
      </c>
      <c r="AB92" s="68">
        <f>SUM(U92:AA92)</f>
        <v>0</v>
      </c>
      <c r="AC92" s="69">
        <v>0</v>
      </c>
      <c r="AD92" s="69">
        <v>0</v>
      </c>
      <c r="AE92" s="69">
        <v>0</v>
      </c>
      <c r="AF92" s="69">
        <v>0</v>
      </c>
      <c r="AG92" s="69">
        <v>0</v>
      </c>
      <c r="AH92" s="69">
        <v>0</v>
      </c>
      <c r="AI92" s="69">
        <v>0</v>
      </c>
      <c r="AJ92" s="68">
        <f>SUM(AC92:AI92)</f>
        <v>0</v>
      </c>
    </row>
    <row r="93" spans="2:36" ht="14.25" customHeight="1">
      <c r="B93" s="9"/>
      <c r="C93" s="10" t="s">
        <v>582</v>
      </c>
      <c r="D93" s="66">
        <f>43495/D99</f>
        <v>2268.9097548252475</v>
      </c>
      <c r="E93" s="66">
        <f>21114/D99</f>
        <v>1101.4084507042253</v>
      </c>
      <c r="F93" s="66">
        <f>22400/D99</f>
        <v>1168.4924360980699</v>
      </c>
      <c r="G93" s="66">
        <f>44414/D99</f>
        <v>2316.8492436098068</v>
      </c>
      <c r="H93" s="66">
        <f>8087.47/D99</f>
        <v>421.88158581116323</v>
      </c>
      <c r="I93" s="66">
        <v>0</v>
      </c>
      <c r="J93" s="66">
        <v>33067</v>
      </c>
      <c r="K93" s="66">
        <v>0</v>
      </c>
      <c r="L93" s="65">
        <f>SUM(D93:K93)</f>
        <v>40344.541471048513</v>
      </c>
      <c r="M93" s="66">
        <v>1364.84</v>
      </c>
      <c r="N93" s="66">
        <v>951</v>
      </c>
      <c r="O93" s="66">
        <v>0</v>
      </c>
      <c r="P93" s="66">
        <v>0</v>
      </c>
      <c r="Q93" s="66">
        <v>0</v>
      </c>
      <c r="R93" s="66">
        <v>0</v>
      </c>
      <c r="S93" s="66">
        <v>0</v>
      </c>
      <c r="T93" s="65">
        <f>SUM(M93:S93)</f>
        <v>2315.84</v>
      </c>
      <c r="U93" s="66">
        <v>0</v>
      </c>
      <c r="V93" s="66">
        <v>0</v>
      </c>
      <c r="W93" s="66">
        <v>0</v>
      </c>
      <c r="X93" s="66">
        <v>0</v>
      </c>
      <c r="Y93" s="66">
        <v>0</v>
      </c>
      <c r="Z93" s="66">
        <v>0</v>
      </c>
      <c r="AA93" s="66">
        <v>0</v>
      </c>
      <c r="AB93" s="65">
        <f>SUM(U93:AA93)</f>
        <v>0</v>
      </c>
      <c r="AC93" s="66">
        <v>14</v>
      </c>
      <c r="AD93" s="66">
        <v>274.23</v>
      </c>
      <c r="AE93" s="66">
        <v>0</v>
      </c>
      <c r="AF93" s="66">
        <v>0</v>
      </c>
      <c r="AG93" s="66">
        <v>0</v>
      </c>
      <c r="AH93" s="66">
        <v>0</v>
      </c>
      <c r="AI93" s="66">
        <v>0</v>
      </c>
      <c r="AJ93" s="65">
        <f>SUM(AC93:AI93)</f>
        <v>288.23</v>
      </c>
    </row>
    <row r="94" spans="2:36" ht="14.25" customHeight="1">
      <c r="B94" s="9"/>
      <c r="C94" s="10" t="s">
        <v>583</v>
      </c>
      <c r="D94" s="195">
        <v>0</v>
      </c>
      <c r="E94" s="195">
        <v>0</v>
      </c>
      <c r="F94" s="195">
        <v>0</v>
      </c>
      <c r="G94" s="195">
        <v>0</v>
      </c>
      <c r="H94" s="195">
        <v>0</v>
      </c>
      <c r="I94" s="195">
        <v>0</v>
      </c>
      <c r="J94" s="195">
        <v>0</v>
      </c>
      <c r="K94" s="195">
        <v>0</v>
      </c>
      <c r="L94" s="65">
        <f>SUM(D94:K94)</f>
        <v>0</v>
      </c>
      <c r="M94" s="66">
        <v>0</v>
      </c>
      <c r="N94" s="66">
        <v>0</v>
      </c>
      <c r="O94" s="66">
        <v>0</v>
      </c>
      <c r="P94" s="66">
        <v>0</v>
      </c>
      <c r="Q94" s="66">
        <v>0</v>
      </c>
      <c r="R94" s="66">
        <v>0</v>
      </c>
      <c r="S94" s="66">
        <v>0</v>
      </c>
      <c r="T94" s="65">
        <f>SUM(M94:S94)</f>
        <v>0</v>
      </c>
      <c r="U94" s="66">
        <v>0</v>
      </c>
      <c r="V94" s="66">
        <v>0</v>
      </c>
      <c r="W94" s="66">
        <v>0</v>
      </c>
      <c r="X94" s="66">
        <v>0</v>
      </c>
      <c r="Y94" s="66">
        <v>0</v>
      </c>
      <c r="Z94" s="66">
        <v>0</v>
      </c>
      <c r="AA94" s="66">
        <v>0</v>
      </c>
      <c r="AB94" s="65">
        <f>SUM(U94:AA94)</f>
        <v>0</v>
      </c>
      <c r="AC94" s="66">
        <v>0</v>
      </c>
      <c r="AD94" s="66">
        <v>0</v>
      </c>
      <c r="AE94" s="66">
        <v>0</v>
      </c>
      <c r="AF94" s="66">
        <v>0</v>
      </c>
      <c r="AG94" s="66">
        <v>0</v>
      </c>
      <c r="AH94" s="66">
        <v>0</v>
      </c>
      <c r="AI94" s="66">
        <v>0</v>
      </c>
      <c r="AJ94" s="65">
        <f>SUM(AC94:AI94)</f>
        <v>0</v>
      </c>
    </row>
    <row r="95" spans="2:36" ht="17" thickBot="1">
      <c r="B95" s="657" t="s">
        <v>588</v>
      </c>
      <c r="C95" s="657"/>
      <c r="D95" s="657"/>
      <c r="E95" s="657"/>
      <c r="F95" s="657"/>
      <c r="G95" s="657"/>
      <c r="H95" s="657"/>
      <c r="I95" s="657"/>
      <c r="J95" s="657"/>
      <c r="K95" s="657"/>
      <c r="L95" s="657"/>
      <c r="M95" s="657"/>
      <c r="N95" s="657"/>
      <c r="O95" s="657"/>
      <c r="P95" s="657"/>
      <c r="Q95" s="657"/>
      <c r="R95" s="657"/>
      <c r="S95" s="657"/>
      <c r="T95" s="657"/>
      <c r="U95" s="657"/>
      <c r="V95" s="657"/>
      <c r="W95" s="657"/>
      <c r="X95" s="657"/>
      <c r="Y95" s="657"/>
      <c r="Z95" s="657"/>
      <c r="AA95" s="657"/>
      <c r="AB95" s="657"/>
      <c r="AC95" s="657"/>
      <c r="AD95" s="657"/>
      <c r="AE95" s="657"/>
      <c r="AF95" s="657"/>
      <c r="AG95" s="657"/>
      <c r="AH95" s="657"/>
      <c r="AI95" s="657"/>
      <c r="AJ95" s="657"/>
    </row>
    <row r="96" spans="2:36" ht="15" customHeight="1">
      <c r="B96" s="4"/>
      <c r="C96" s="8"/>
      <c r="D96" s="8"/>
      <c r="E96" s="8"/>
      <c r="F96" s="8"/>
      <c r="G96" s="8"/>
      <c r="H96" s="8"/>
      <c r="I96" s="8"/>
      <c r="J96" s="8"/>
      <c r="K96" s="8"/>
      <c r="L96" s="25"/>
      <c r="M96" s="8"/>
      <c r="N96" s="8"/>
      <c r="O96" s="8"/>
      <c r="P96" s="8"/>
      <c r="Q96" s="8"/>
      <c r="R96" s="8"/>
      <c r="S96" s="8"/>
      <c r="T96" s="25"/>
      <c r="U96" s="25"/>
      <c r="V96" s="25"/>
      <c r="W96" s="25"/>
      <c r="X96" s="25"/>
      <c r="Y96" s="25"/>
      <c r="Z96" s="25"/>
      <c r="AA96" s="25"/>
      <c r="AB96" s="25"/>
      <c r="AC96" s="25"/>
      <c r="AD96" s="25"/>
      <c r="AE96" s="25"/>
      <c r="AF96" s="25"/>
      <c r="AG96" s="25"/>
      <c r="AH96" s="25"/>
      <c r="AI96" s="25"/>
      <c r="AJ96" s="25"/>
    </row>
    <row r="97" spans="3:36" ht="30" hidden="1" customHeight="1">
      <c r="C97" t="s">
        <v>252</v>
      </c>
      <c r="D97" s="235">
        <v>2025</v>
      </c>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3:36" ht="14.25" hidden="1" customHeight="1">
      <c r="C98" t="s">
        <v>589</v>
      </c>
      <c r="D98" s="333"/>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3:36" ht="14.25" hidden="1" customHeight="1">
      <c r="C99" t="s">
        <v>590</v>
      </c>
      <c r="D99" s="334">
        <v>19.170000000000002</v>
      </c>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3:36" ht="15" hidden="1" customHeight="1">
      <c r="C100" t="s">
        <v>591</v>
      </c>
      <c r="D100">
        <v>3.52</v>
      </c>
    </row>
    <row r="101" spans="3:36" ht="14.25" hidden="1" customHeight="1">
      <c r="C101" t="s">
        <v>592</v>
      </c>
      <c r="D101" s="333"/>
    </row>
    <row r="102" spans="3:36" ht="14.25" hidden="1" customHeight="1">
      <c r="C102" s="333">
        <v>1000</v>
      </c>
      <c r="D102" s="333"/>
    </row>
  </sheetData>
  <sheetProtection algorithmName="SHA-512" hashValue="pJf59EV0xNbCCvybFCAjDJ5vNL3d0pBZutjY0ATVvxbkCRq7BZAQsub+2JI6qiLYQwhml7/+N38X5NH4Vsp2HA==" saltValue="TkdhvINThQRmrXLTJFy15w==" spinCount="100000" sheet="1" objects="1" scenarios="1"/>
  <mergeCells count="50">
    <mergeCell ref="B95:AJ95"/>
    <mergeCell ref="D70:K73"/>
    <mergeCell ref="B5:C5"/>
    <mergeCell ref="K61:K64"/>
    <mergeCell ref="F41:F42"/>
    <mergeCell ref="K41:K42"/>
    <mergeCell ref="K46:K52"/>
    <mergeCell ref="K55:K58"/>
    <mergeCell ref="B27:C27"/>
    <mergeCell ref="F29:F35"/>
    <mergeCell ref="I29:I35"/>
    <mergeCell ref="K29:K35"/>
    <mergeCell ref="H29:H35"/>
    <mergeCell ref="B36:AJ36"/>
    <mergeCell ref="B37:AJ37"/>
    <mergeCell ref="B38:AJ38"/>
    <mergeCell ref="B2:C2"/>
    <mergeCell ref="D4:I4"/>
    <mergeCell ref="M14:S14"/>
    <mergeCell ref="M17:S17"/>
    <mergeCell ref="Q29:Q35"/>
    <mergeCell ref="O29:O35"/>
    <mergeCell ref="P29:P35"/>
    <mergeCell ref="T14:AJ14"/>
    <mergeCell ref="T17:AJ17"/>
    <mergeCell ref="W29:W35"/>
    <mergeCell ref="X29:X35"/>
    <mergeCell ref="Y29:Y35"/>
    <mergeCell ref="Z29:Z35"/>
    <mergeCell ref="AA29:AA35"/>
    <mergeCell ref="B23:AJ23"/>
    <mergeCell ref="B24:AJ24"/>
    <mergeCell ref="B25:AJ25"/>
    <mergeCell ref="R29:R35"/>
    <mergeCell ref="S29:S35"/>
    <mergeCell ref="S61:S64"/>
    <mergeCell ref="AA61:AA64"/>
    <mergeCell ref="AI61:AI64"/>
    <mergeCell ref="O41:O42"/>
    <mergeCell ref="Q41:Q42"/>
    <mergeCell ref="S41:S42"/>
    <mergeCell ref="AI41:AI42"/>
    <mergeCell ref="AA41:AA42"/>
    <mergeCell ref="AA46:AA52"/>
    <mergeCell ref="S55:S58"/>
    <mergeCell ref="AA55:AA58"/>
    <mergeCell ref="S46:S52"/>
    <mergeCell ref="AI46:AI52"/>
    <mergeCell ref="AI55:AI58"/>
    <mergeCell ref="B43:AJ43"/>
  </mergeCells>
  <conditionalFormatting sqref="A2">
    <cfRule type="cellIs" dxfId="1" priority="1" operator="equal">
      <formula>"✗"</formula>
    </cfRule>
  </conditionalFormatting>
  <conditionalFormatting sqref="A4:A95">
    <cfRule type="cellIs" dxfId="0" priority="2" operator="equal">
      <formula>"✗"</formula>
    </cfRule>
  </conditionalFormatting>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1CEF0-3306-A943-ADBE-7999E110BD2C}">
  <dimension ref="B1:F54"/>
  <sheetViews>
    <sheetView showGridLines="0" workbookViewId="0">
      <selection activeCell="B2" sqref="B2:C2"/>
    </sheetView>
  </sheetViews>
  <sheetFormatPr baseColWidth="10" defaultColWidth="11.1640625" defaultRowHeight="15" customHeight="1"/>
  <cols>
    <col min="1" max="1" width="3.5" customWidth="1"/>
    <col min="2" max="2" width="5.33203125" customWidth="1"/>
    <col min="3" max="3" width="65.33203125" customWidth="1"/>
    <col min="4" max="4" width="12.1640625" style="438" customWidth="1"/>
    <col min="5" max="5" width="15" style="438" customWidth="1"/>
    <col min="6" max="6" width="36" customWidth="1"/>
    <col min="7" max="11" width="10.83203125" customWidth="1"/>
  </cols>
  <sheetData>
    <row r="1" spans="2:5" ht="67" customHeight="1">
      <c r="D1"/>
      <c r="E1"/>
    </row>
    <row r="2" spans="2:5" ht="16" customHeight="1">
      <c r="B2" s="643" t="s">
        <v>4</v>
      </c>
      <c r="C2" s="644"/>
      <c r="D2" s="439"/>
      <c r="E2" s="439"/>
    </row>
    <row r="3" spans="2:5" ht="18.75" customHeight="1">
      <c r="B3" s="4"/>
      <c r="C3" s="8"/>
      <c r="D3" s="59"/>
      <c r="E3" s="59"/>
    </row>
    <row r="4" spans="2:5" s="231" customFormat="1" ht="16">
      <c r="B4" s="645" t="s">
        <v>5</v>
      </c>
      <c r="C4" s="646"/>
      <c r="D4" s="440" t="s">
        <v>6</v>
      </c>
      <c r="E4" s="440" t="s">
        <v>7</v>
      </c>
    </row>
    <row r="5" spans="2:5" ht="21.75" customHeight="1">
      <c r="B5" s="7" t="s">
        <v>9</v>
      </c>
      <c r="C5" s="8"/>
      <c r="D5" s="441"/>
      <c r="E5" s="441"/>
    </row>
    <row r="6" spans="2:5" ht="16">
      <c r="B6" s="9"/>
      <c r="C6" s="10" t="s">
        <v>10</v>
      </c>
      <c r="D6" s="384">
        <v>7</v>
      </c>
      <c r="E6" s="77">
        <v>8</v>
      </c>
    </row>
    <row r="7" spans="2:5" ht="16">
      <c r="B7" s="9"/>
      <c r="C7" s="10" t="s">
        <v>11</v>
      </c>
      <c r="D7" s="384">
        <v>6</v>
      </c>
      <c r="E7" s="77">
        <v>7</v>
      </c>
    </row>
    <row r="8" spans="2:5" ht="16">
      <c r="B8" s="13"/>
      <c r="C8" s="10" t="s">
        <v>12</v>
      </c>
      <c r="D8" s="384">
        <v>3</v>
      </c>
      <c r="E8" s="77">
        <v>3</v>
      </c>
    </row>
    <row r="9" spans="2:5" ht="16">
      <c r="B9" s="13"/>
      <c r="C9" s="10" t="s">
        <v>13</v>
      </c>
      <c r="D9" s="442">
        <f>+D8/D6</f>
        <v>0.42857142857142855</v>
      </c>
      <c r="E9" s="442">
        <f>+E8/E6</f>
        <v>0.375</v>
      </c>
    </row>
    <row r="10" spans="2:5" ht="16">
      <c r="B10" s="13"/>
      <c r="C10" s="174" t="s">
        <v>14</v>
      </c>
      <c r="D10" s="384" t="s">
        <v>15</v>
      </c>
      <c r="E10" s="29" t="s">
        <v>15</v>
      </c>
    </row>
    <row r="11" spans="2:5" ht="16">
      <c r="B11" s="9"/>
      <c r="C11" s="10" t="s">
        <v>16</v>
      </c>
      <c r="D11" s="384" t="s">
        <v>15</v>
      </c>
      <c r="E11" s="101" t="s">
        <v>15</v>
      </c>
    </row>
    <row r="12" spans="2:5" ht="16">
      <c r="B12" s="175" t="s">
        <v>17</v>
      </c>
      <c r="C12" s="23"/>
      <c r="D12" s="443"/>
      <c r="E12" s="443"/>
    </row>
    <row r="13" spans="2:5" ht="15.75" customHeight="1" thickBot="1">
      <c r="B13" s="285"/>
      <c r="C13" s="286"/>
      <c r="D13" s="306"/>
      <c r="E13" s="306"/>
    </row>
    <row r="14" spans="2:5" ht="15.75" customHeight="1">
      <c r="B14" s="7" t="s">
        <v>18</v>
      </c>
      <c r="C14" s="8"/>
      <c r="D14" s="441"/>
      <c r="E14" s="441"/>
    </row>
    <row r="15" spans="2:5" ht="16">
      <c r="B15" s="9"/>
      <c r="C15" s="10" t="s">
        <v>19</v>
      </c>
      <c r="D15" s="384">
        <v>1</v>
      </c>
      <c r="E15" s="77">
        <v>6</v>
      </c>
    </row>
    <row r="16" spans="2:5" ht="16">
      <c r="B16" s="9"/>
      <c r="C16" s="10" t="s">
        <v>20</v>
      </c>
      <c r="D16" s="384">
        <v>3</v>
      </c>
      <c r="E16" s="77">
        <v>7</v>
      </c>
    </row>
    <row r="17" spans="2:6" ht="16">
      <c r="B17" s="9"/>
      <c r="C17" s="10" t="s">
        <v>21</v>
      </c>
      <c r="D17" s="384">
        <v>28</v>
      </c>
      <c r="E17" s="77">
        <v>23</v>
      </c>
    </row>
    <row r="18" spans="2:6" ht="16">
      <c r="B18" s="9"/>
      <c r="C18" s="10" t="s">
        <v>22</v>
      </c>
      <c r="D18" s="384">
        <v>6</v>
      </c>
      <c r="E18" s="77">
        <v>4</v>
      </c>
    </row>
    <row r="19" spans="2:6" ht="16">
      <c r="B19" s="9"/>
      <c r="C19" s="10" t="s">
        <v>23</v>
      </c>
      <c r="D19" s="384">
        <v>2</v>
      </c>
      <c r="E19" s="77">
        <v>0</v>
      </c>
    </row>
    <row r="20" spans="2:6" ht="16">
      <c r="B20" s="9"/>
      <c r="C20" s="10" t="s">
        <v>25</v>
      </c>
      <c r="D20" s="384">
        <v>10</v>
      </c>
      <c r="E20" s="77" t="s">
        <v>26</v>
      </c>
    </row>
    <row r="21" spans="2:6" ht="16">
      <c r="B21" s="9"/>
      <c r="C21" s="10" t="s">
        <v>27</v>
      </c>
      <c r="D21" s="384">
        <v>4</v>
      </c>
      <c r="E21" s="77">
        <v>2</v>
      </c>
    </row>
    <row r="22" spans="2:6" s="337" customFormat="1" ht="15.75" customHeight="1">
      <c r="B22" s="335"/>
      <c r="C22" s="336" t="s">
        <v>28</v>
      </c>
      <c r="D22" s="444">
        <f>SUM(D15:D21)</f>
        <v>54</v>
      </c>
      <c r="E22" s="445">
        <f>SUM(E15:E21)</f>
        <v>42</v>
      </c>
      <c r="F22"/>
    </row>
    <row r="23" spans="2:6" ht="16">
      <c r="B23" s="175" t="s">
        <v>29</v>
      </c>
      <c r="C23" s="23"/>
      <c r="D23" s="443"/>
      <c r="E23" s="443"/>
    </row>
    <row r="24" spans="2:6" ht="15.75" customHeight="1" thickBot="1">
      <c r="B24" s="285"/>
      <c r="C24" s="286"/>
      <c r="D24" s="306"/>
      <c r="E24" s="306"/>
    </row>
    <row r="25" spans="2:6" ht="15.75" customHeight="1">
      <c r="B25" s="7" t="s">
        <v>30</v>
      </c>
      <c r="C25" s="8"/>
      <c r="D25" s="441"/>
      <c r="E25" s="441"/>
    </row>
    <row r="26" spans="2:6" ht="15.75" customHeight="1">
      <c r="B26" s="9"/>
      <c r="C26" s="174" t="s">
        <v>31</v>
      </c>
      <c r="D26" s="384">
        <f>15+1</f>
        <v>16</v>
      </c>
      <c r="E26" s="384">
        <v>22</v>
      </c>
    </row>
    <row r="27" spans="2:6" ht="15.75" customHeight="1">
      <c r="B27" s="9"/>
      <c r="C27" s="10" t="s">
        <v>32</v>
      </c>
      <c r="D27" s="384">
        <v>8</v>
      </c>
      <c r="E27" s="384">
        <v>8</v>
      </c>
    </row>
    <row r="28" spans="2:6" ht="15.75" customHeight="1">
      <c r="B28" s="9"/>
      <c r="C28" s="10" t="s">
        <v>33</v>
      </c>
      <c r="D28" s="384">
        <v>11</v>
      </c>
      <c r="E28" s="384">
        <v>3</v>
      </c>
    </row>
    <row r="29" spans="2:6" ht="15.75" customHeight="1">
      <c r="B29" s="9"/>
      <c r="C29" s="10" t="s">
        <v>34</v>
      </c>
      <c r="D29" s="384">
        <f>2+4</f>
        <v>6</v>
      </c>
      <c r="E29" s="384">
        <v>2</v>
      </c>
    </row>
    <row r="30" spans="2:6" s="172" customFormat="1" ht="15.75" customHeight="1">
      <c r="B30" s="186"/>
      <c r="C30" s="174" t="s">
        <v>35</v>
      </c>
      <c r="D30" s="384">
        <v>0</v>
      </c>
      <c r="E30" s="384">
        <v>1</v>
      </c>
      <c r="F30"/>
    </row>
    <row r="31" spans="2:6" s="172" customFormat="1" ht="15.75" customHeight="1">
      <c r="B31" s="186"/>
      <c r="C31" s="174" t="s">
        <v>36</v>
      </c>
      <c r="D31" s="384">
        <v>2</v>
      </c>
      <c r="E31" s="384">
        <v>0</v>
      </c>
      <c r="F31"/>
    </row>
    <row r="32" spans="2:6" ht="15.75" customHeight="1">
      <c r="B32" s="9"/>
      <c r="C32" s="10" t="s">
        <v>37</v>
      </c>
      <c r="D32" s="384">
        <v>1</v>
      </c>
      <c r="E32" s="384">
        <v>1</v>
      </c>
    </row>
    <row r="33" spans="2:6" ht="15.75" customHeight="1">
      <c r="B33" s="9"/>
      <c r="C33" s="10" t="s">
        <v>38</v>
      </c>
      <c r="D33" s="384">
        <v>1</v>
      </c>
      <c r="E33" s="384">
        <v>0</v>
      </c>
    </row>
    <row r="34" spans="2:6" ht="15.75" customHeight="1">
      <c r="B34" s="9"/>
      <c r="C34" s="10" t="s">
        <v>39</v>
      </c>
      <c r="D34" s="384">
        <v>0</v>
      </c>
      <c r="E34" s="384">
        <v>1</v>
      </c>
    </row>
    <row r="35" spans="2:6" ht="15.75" customHeight="1">
      <c r="B35" s="9"/>
      <c r="C35" s="10" t="s">
        <v>40</v>
      </c>
      <c r="D35" s="384">
        <f>1+1+1</f>
        <v>3</v>
      </c>
      <c r="E35" s="384">
        <v>1</v>
      </c>
    </row>
    <row r="36" spans="2:6" ht="15.75" customHeight="1">
      <c r="B36" s="9"/>
      <c r="C36" s="10" t="s">
        <v>41</v>
      </c>
      <c r="D36" s="384">
        <v>0</v>
      </c>
      <c r="E36" s="384">
        <v>1</v>
      </c>
    </row>
    <row r="37" spans="2:6" ht="15.75" customHeight="1">
      <c r="B37" s="9"/>
      <c r="C37" s="10" t="s">
        <v>42</v>
      </c>
      <c r="D37" s="384">
        <f>3+3</f>
        <v>6</v>
      </c>
      <c r="E37" s="384">
        <v>2</v>
      </c>
    </row>
    <row r="38" spans="2:6" s="337" customFormat="1" ht="15.75" customHeight="1">
      <c r="B38" s="335"/>
      <c r="C38" s="336" t="s">
        <v>28</v>
      </c>
      <c r="D38" s="444">
        <f>SUM(D26:D37)</f>
        <v>54</v>
      </c>
      <c r="E38" s="445">
        <f>SUM(E26:E37)</f>
        <v>42</v>
      </c>
      <c r="F38"/>
    </row>
    <row r="39" spans="2:6" ht="15.75" customHeight="1" thickBot="1">
      <c r="B39" s="285"/>
      <c r="C39" s="286"/>
      <c r="D39" s="306"/>
      <c r="E39" s="306"/>
    </row>
    <row r="40" spans="2:6" ht="15.75" customHeight="1">
      <c r="B40" s="7" t="s">
        <v>43</v>
      </c>
      <c r="C40" s="8"/>
      <c r="D40" s="441"/>
      <c r="E40" s="441"/>
    </row>
    <row r="41" spans="2:6" ht="16">
      <c r="B41" s="9"/>
      <c r="C41" s="174" t="s">
        <v>44</v>
      </c>
      <c r="D41" s="351">
        <v>1</v>
      </c>
      <c r="E41" s="351">
        <v>1</v>
      </c>
    </row>
    <row r="42" spans="2:6" ht="15.75" customHeight="1">
      <c r="B42" s="13"/>
      <c r="C42" s="10" t="s">
        <v>45</v>
      </c>
      <c r="D42" s="384">
        <v>0</v>
      </c>
      <c r="E42" s="446">
        <v>0</v>
      </c>
    </row>
    <row r="43" spans="2:6" ht="30" customHeight="1">
      <c r="B43" s="9"/>
      <c r="C43" s="10" t="s">
        <v>46</v>
      </c>
      <c r="D43" s="384">
        <v>0</v>
      </c>
      <c r="E43" s="446">
        <v>0</v>
      </c>
    </row>
    <row r="44" spans="2:6" ht="30">
      <c r="B44" s="9"/>
      <c r="C44" s="10" t="s">
        <v>47</v>
      </c>
      <c r="D44" s="384">
        <v>0</v>
      </c>
      <c r="E44" s="446">
        <v>0</v>
      </c>
    </row>
    <row r="45" spans="2:6" ht="15" customHeight="1">
      <c r="B45" s="175" t="s">
        <v>596</v>
      </c>
      <c r="C45" s="23"/>
      <c r="D45" s="443"/>
      <c r="E45" s="443"/>
    </row>
    <row r="46" spans="2:6" ht="15.75" customHeight="1" thickBot="1">
      <c r="B46" s="285"/>
      <c r="C46" s="286"/>
      <c r="D46" s="306"/>
      <c r="E46" s="306"/>
    </row>
    <row r="47" spans="2:6" ht="15.75" customHeight="1">
      <c r="B47" s="7" t="s">
        <v>48</v>
      </c>
      <c r="C47" s="8"/>
      <c r="D47" s="441"/>
      <c r="E47" s="441"/>
    </row>
    <row r="48" spans="2:6" ht="31" customHeight="1">
      <c r="B48" s="9"/>
      <c r="C48" s="10" t="s">
        <v>49</v>
      </c>
      <c r="D48" s="351">
        <v>1</v>
      </c>
      <c r="E48" s="351">
        <v>1</v>
      </c>
    </row>
    <row r="49" spans="2:5" ht="18" customHeight="1">
      <c r="B49" s="9"/>
      <c r="C49" s="10" t="s">
        <v>50</v>
      </c>
      <c r="D49" s="351">
        <v>1</v>
      </c>
      <c r="E49" s="351">
        <v>1</v>
      </c>
    </row>
    <row r="50" spans="2:5" ht="31" customHeight="1">
      <c r="B50" s="71"/>
      <c r="C50" s="174" t="s">
        <v>51</v>
      </c>
      <c r="D50" s="351">
        <v>1</v>
      </c>
      <c r="E50" s="351">
        <v>1</v>
      </c>
    </row>
    <row r="51" spans="2:5" ht="15" customHeight="1">
      <c r="B51" s="642" t="s">
        <v>52</v>
      </c>
      <c r="C51" s="642"/>
      <c r="D51" s="443"/>
      <c r="E51" s="443"/>
    </row>
    <row r="52" spans="2:5" ht="15" customHeight="1">
      <c r="B52" s="642" t="s">
        <v>53</v>
      </c>
      <c r="C52" s="642"/>
      <c r="D52" s="443"/>
      <c r="E52" s="443"/>
    </row>
    <row r="53" spans="2:5" ht="16">
      <c r="B53" s="642" t="s">
        <v>54</v>
      </c>
      <c r="C53" s="642"/>
      <c r="D53" s="443"/>
      <c r="E53" s="443"/>
    </row>
    <row r="54" spans="2:5" ht="15.75" customHeight="1" thickBot="1">
      <c r="B54" s="285"/>
      <c r="C54" s="286"/>
      <c r="D54" s="306"/>
      <c r="E54" s="306"/>
    </row>
  </sheetData>
  <sheetProtection algorithmName="SHA-512" hashValue="Dh4kpqYeJHecRpN+MCqGFcS+Zf0/ArBPTWOkS5AeJODW4oG8/iC0oVRna4p6GQHc2+ERli90kmcKTv7h0ODGbQ==" saltValue="1UY2wu3GckjbujD0tFh/3A==" spinCount="100000" sheet="1" objects="1" scenarios="1"/>
  <mergeCells count="5">
    <mergeCell ref="B52:C52"/>
    <mergeCell ref="B53:C53"/>
    <mergeCell ref="B2:C2"/>
    <mergeCell ref="B4:C4"/>
    <mergeCell ref="B51:C51"/>
  </mergeCells>
  <conditionalFormatting sqref="A2:A54">
    <cfRule type="cellIs" dxfId="8" priority="1" operator="equal">
      <formula>"✗"</formula>
    </cfRule>
  </conditionalFormatting>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187"/>
  <sheetViews>
    <sheetView showGridLines="0" zoomScaleNormal="100" workbookViewId="0">
      <selection activeCell="B2" sqref="B2:C2"/>
    </sheetView>
  </sheetViews>
  <sheetFormatPr baseColWidth="10" defaultColWidth="11.1640625" defaultRowHeight="15" customHeight="1"/>
  <cols>
    <col min="1" max="1" width="3.1640625" style="447" customWidth="1"/>
    <col min="2" max="2" width="7.6640625" style="447" customWidth="1"/>
    <col min="3" max="3" width="49.5" style="447" customWidth="1"/>
    <col min="4" max="11" width="11.6640625" style="452" customWidth="1"/>
    <col min="12" max="17" width="11.6640625" style="452" hidden="1" customWidth="1"/>
    <col min="18" max="18" width="11.6640625" style="452" customWidth="1"/>
    <col min="19" max="24" width="11.6640625" style="452" hidden="1" customWidth="1"/>
    <col min="25" max="25" width="11.6640625" style="452" customWidth="1"/>
    <col min="26" max="31" width="11.6640625" style="452" hidden="1" customWidth="1"/>
    <col min="32" max="32" width="11.6640625" style="452" customWidth="1"/>
    <col min="33" max="33" width="10" style="447" customWidth="1"/>
    <col min="34" max="39" width="13" style="447" customWidth="1"/>
    <col min="40" max="42" width="10.83203125" style="447" customWidth="1"/>
    <col min="43" max="16384" width="11.1640625" style="447"/>
  </cols>
  <sheetData>
    <row r="1" spans="2:32" ht="67" customHeight="1"/>
    <row r="2" spans="2:32" ht="21" customHeight="1">
      <c r="B2" s="643" t="s">
        <v>4</v>
      </c>
      <c r="C2" s="673"/>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row>
    <row r="3" spans="2:32" ht="15.75" customHeight="1">
      <c r="B3" s="4"/>
      <c r="C3" s="4"/>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row>
    <row r="4" spans="2:32" s="449" customFormat="1" ht="16">
      <c r="B4" s="645" t="s">
        <v>5</v>
      </c>
      <c r="C4" s="674"/>
      <c r="D4" s="453" t="s">
        <v>6</v>
      </c>
      <c r="E4" s="453" t="s">
        <v>7</v>
      </c>
      <c r="F4" s="453" t="s">
        <v>8</v>
      </c>
      <c r="G4" s="59"/>
      <c r="H4" s="59"/>
      <c r="I4" s="59"/>
      <c r="J4" s="59"/>
      <c r="K4" s="59"/>
      <c r="L4" s="59"/>
      <c r="M4" s="59"/>
      <c r="N4" s="59"/>
      <c r="O4" s="59"/>
      <c r="P4" s="59"/>
      <c r="Q4" s="59"/>
      <c r="R4" s="59"/>
      <c r="S4" s="59"/>
      <c r="T4" s="59"/>
      <c r="U4" s="59"/>
      <c r="V4" s="59"/>
      <c r="W4" s="59"/>
      <c r="X4" s="59"/>
      <c r="Y4" s="59"/>
      <c r="Z4" s="59"/>
      <c r="AA4" s="59"/>
      <c r="AB4" s="59"/>
      <c r="AC4" s="59"/>
      <c r="AD4" s="59"/>
      <c r="AE4" s="59"/>
      <c r="AF4" s="59"/>
    </row>
    <row r="5" spans="2:32" ht="16">
      <c r="B5" s="7" t="s">
        <v>55</v>
      </c>
      <c r="C5" s="8"/>
      <c r="D5" s="441"/>
      <c r="E5" s="441"/>
      <c r="F5" s="441"/>
      <c r="G5" s="59"/>
      <c r="H5" s="59"/>
      <c r="I5" s="59"/>
      <c r="J5" s="59"/>
      <c r="K5" s="59"/>
      <c r="L5" s="59"/>
      <c r="M5" s="59"/>
      <c r="N5" s="59"/>
      <c r="O5" s="59"/>
      <c r="P5" s="59"/>
      <c r="Q5" s="59"/>
      <c r="R5" s="59"/>
      <c r="S5" s="59"/>
      <c r="T5" s="59"/>
      <c r="U5" s="59"/>
      <c r="V5" s="59"/>
      <c r="W5" s="59"/>
      <c r="X5" s="59"/>
      <c r="Y5" s="59"/>
      <c r="Z5" s="59"/>
      <c r="AA5" s="59"/>
      <c r="AB5" s="59"/>
      <c r="AC5" s="59"/>
      <c r="AD5" s="59"/>
      <c r="AE5" s="59"/>
      <c r="AF5" s="59"/>
    </row>
    <row r="6" spans="2:32" ht="16">
      <c r="B6" s="9"/>
      <c r="C6" s="10" t="s">
        <v>56</v>
      </c>
      <c r="D6" s="384">
        <f>+D17+E17+F17+H17+I17-D8</f>
        <v>1749</v>
      </c>
      <c r="E6" s="346">
        <f>R17-Q17-E8</f>
        <v>1519</v>
      </c>
      <c r="F6" s="346">
        <f>1375-F8-F9</f>
        <v>1352</v>
      </c>
      <c r="G6" s="59"/>
      <c r="H6" s="59"/>
      <c r="I6" s="59"/>
      <c r="J6" s="59"/>
      <c r="K6" s="59"/>
      <c r="L6" s="59"/>
      <c r="M6" s="59"/>
      <c r="N6" s="59"/>
      <c r="O6" s="59"/>
      <c r="P6" s="59"/>
      <c r="Q6" s="59"/>
      <c r="R6" s="59"/>
      <c r="S6" s="59"/>
      <c r="T6" s="59"/>
      <c r="U6" s="59"/>
      <c r="V6" s="59"/>
      <c r="W6" s="59"/>
      <c r="X6" s="59"/>
      <c r="Y6" s="59"/>
      <c r="Z6" s="59"/>
      <c r="AA6" s="59"/>
      <c r="AB6" s="59"/>
      <c r="AC6" s="59"/>
      <c r="AD6" s="59"/>
      <c r="AE6" s="59"/>
      <c r="AF6" s="59"/>
    </row>
    <row r="7" spans="2:32" ht="16">
      <c r="B7" s="9"/>
      <c r="C7" s="10" t="s">
        <v>57</v>
      </c>
      <c r="D7" s="384">
        <f>+G17</f>
        <v>656</v>
      </c>
      <c r="E7" s="384" t="s">
        <v>26</v>
      </c>
      <c r="F7" s="384" t="s">
        <v>26</v>
      </c>
      <c r="G7" s="59"/>
      <c r="H7" s="59"/>
      <c r="I7" s="59"/>
      <c r="J7" s="59"/>
      <c r="K7" s="59"/>
      <c r="L7" s="59"/>
      <c r="M7" s="59"/>
      <c r="N7" s="59"/>
      <c r="O7" s="59"/>
      <c r="P7" s="59"/>
      <c r="Q7" s="59"/>
      <c r="R7" s="59"/>
      <c r="S7" s="59"/>
      <c r="T7" s="59"/>
      <c r="U7" s="59"/>
      <c r="V7" s="59"/>
      <c r="W7" s="59"/>
      <c r="X7" s="59"/>
      <c r="Y7" s="59"/>
      <c r="Z7" s="59"/>
      <c r="AA7" s="59"/>
      <c r="AB7" s="59"/>
      <c r="AC7" s="59"/>
      <c r="AD7" s="59"/>
      <c r="AE7" s="59"/>
      <c r="AF7" s="59"/>
    </row>
    <row r="8" spans="2:32" ht="16">
      <c r="B8" s="9"/>
      <c r="C8" s="10" t="s">
        <v>58</v>
      </c>
      <c r="D8" s="384">
        <v>4</v>
      </c>
      <c r="E8" s="384">
        <v>4</v>
      </c>
      <c r="F8" s="384">
        <v>4</v>
      </c>
      <c r="G8" s="59"/>
      <c r="H8" s="59"/>
      <c r="I8" s="59"/>
      <c r="J8" s="59"/>
      <c r="K8" s="59"/>
      <c r="L8" s="59"/>
      <c r="M8" s="59"/>
      <c r="N8" s="59"/>
      <c r="O8" s="59"/>
      <c r="P8" s="59"/>
      <c r="Q8" s="59"/>
      <c r="R8" s="59"/>
      <c r="S8" s="59"/>
      <c r="T8" s="59"/>
      <c r="U8" s="59"/>
      <c r="V8" s="59"/>
      <c r="W8" s="59"/>
      <c r="X8" s="59"/>
      <c r="Y8" s="59"/>
      <c r="Z8" s="59"/>
      <c r="AA8" s="59"/>
      <c r="AB8" s="59"/>
      <c r="AC8" s="59"/>
      <c r="AD8" s="59"/>
      <c r="AE8" s="59"/>
      <c r="AF8" s="59"/>
    </row>
    <row r="9" spans="2:32" ht="16">
      <c r="B9" s="9"/>
      <c r="C9" s="10" t="s">
        <v>59</v>
      </c>
      <c r="D9" s="384">
        <f>+J17</f>
        <v>20</v>
      </c>
      <c r="E9" s="384">
        <f>Q17</f>
        <v>19</v>
      </c>
      <c r="F9" s="346">
        <f>+X17</f>
        <v>19</v>
      </c>
      <c r="G9" s="59"/>
      <c r="H9" s="59"/>
      <c r="I9" s="59"/>
      <c r="J9" s="59"/>
      <c r="K9" s="59"/>
      <c r="L9" s="59"/>
      <c r="M9" s="59"/>
      <c r="N9" s="59"/>
      <c r="O9" s="59"/>
      <c r="P9" s="59"/>
      <c r="Q9" s="59"/>
      <c r="R9" s="59"/>
      <c r="S9" s="59"/>
      <c r="T9" s="59"/>
      <c r="U9" s="59"/>
      <c r="V9" s="59"/>
      <c r="W9" s="59"/>
      <c r="X9" s="59"/>
      <c r="Y9" s="59"/>
      <c r="Z9" s="59"/>
      <c r="AA9" s="59"/>
      <c r="AB9" s="59"/>
      <c r="AC9" s="59"/>
      <c r="AD9" s="59"/>
      <c r="AE9" s="59"/>
      <c r="AF9" s="59"/>
    </row>
    <row r="10" spans="2:32" ht="16">
      <c r="B10" s="13"/>
      <c r="C10" s="14" t="s">
        <v>60</v>
      </c>
      <c r="D10" s="343">
        <f>SUM(D6:D9)</f>
        <v>2429</v>
      </c>
      <c r="E10" s="454">
        <f>SUM(E6:E9)</f>
        <v>1542</v>
      </c>
      <c r="F10" s="454">
        <f>SUM(F6:F9)</f>
        <v>1375</v>
      </c>
      <c r="G10" s="59"/>
      <c r="H10" s="59"/>
      <c r="I10" s="8"/>
      <c r="J10" s="59"/>
      <c r="K10" s="59"/>
      <c r="L10" s="59"/>
      <c r="M10" s="59"/>
      <c r="N10" s="59"/>
      <c r="O10" s="59"/>
      <c r="P10" s="59"/>
      <c r="Q10" s="59"/>
      <c r="R10" s="59"/>
      <c r="S10" s="59"/>
      <c r="T10" s="59"/>
      <c r="U10" s="59"/>
      <c r="V10" s="59"/>
      <c r="W10" s="59"/>
      <c r="X10" s="59"/>
      <c r="Y10" s="59"/>
      <c r="Z10" s="59"/>
      <c r="AA10" s="59"/>
      <c r="AB10" s="59"/>
      <c r="AC10" s="59"/>
      <c r="AD10" s="59"/>
      <c r="AE10" s="59"/>
      <c r="AF10" s="59"/>
    </row>
    <row r="11" spans="2:32" ht="30" customHeight="1" thickBot="1">
      <c r="B11" s="657" t="s">
        <v>597</v>
      </c>
      <c r="C11" s="657"/>
      <c r="D11" s="657"/>
      <c r="E11" s="657"/>
      <c r="F11" s="657"/>
      <c r="G11" s="306"/>
      <c r="H11" s="306"/>
      <c r="I11" s="306"/>
      <c r="J11" s="306"/>
      <c r="K11" s="313"/>
      <c r="L11" s="306"/>
      <c r="M11" s="306"/>
      <c r="N11" s="306"/>
      <c r="O11" s="306"/>
      <c r="P11" s="306"/>
      <c r="Q11" s="306"/>
      <c r="R11" s="313"/>
      <c r="S11" s="313"/>
      <c r="T11" s="313"/>
      <c r="U11" s="313"/>
      <c r="V11" s="313"/>
      <c r="W11" s="313"/>
      <c r="X11" s="313"/>
      <c r="Y11" s="313"/>
      <c r="Z11" s="313"/>
      <c r="AA11" s="313"/>
      <c r="AB11" s="313"/>
      <c r="AC11" s="313"/>
      <c r="AD11" s="313"/>
      <c r="AE11" s="313"/>
      <c r="AF11" s="313"/>
    </row>
    <row r="12" spans="2:32" ht="16">
      <c r="B12" s="356"/>
      <c r="C12" s="357"/>
      <c r="D12" s="455"/>
      <c r="E12" s="455"/>
      <c r="F12" s="455"/>
      <c r="G12" s="455"/>
      <c r="H12" s="455"/>
      <c r="I12" s="455"/>
      <c r="J12" s="455"/>
      <c r="K12" s="456"/>
      <c r="L12" s="455"/>
      <c r="M12" s="455"/>
      <c r="N12" s="455"/>
      <c r="O12" s="455"/>
      <c r="P12" s="455"/>
      <c r="Q12" s="455"/>
      <c r="R12" s="456"/>
      <c r="S12" s="456"/>
      <c r="T12" s="456"/>
      <c r="U12" s="456"/>
      <c r="V12" s="456"/>
      <c r="W12" s="456"/>
      <c r="X12" s="456"/>
      <c r="Y12" s="456"/>
      <c r="Z12" s="456"/>
      <c r="AA12" s="456"/>
      <c r="AB12" s="456"/>
      <c r="AC12" s="456"/>
      <c r="AD12" s="456"/>
      <c r="AE12" s="456"/>
      <c r="AF12" s="456"/>
    </row>
    <row r="13" spans="2:32" s="449" customFormat="1" ht="57" customHeight="1">
      <c r="B13" s="645" t="s">
        <v>5</v>
      </c>
      <c r="C13" s="674"/>
      <c r="D13" s="453" t="s">
        <v>19</v>
      </c>
      <c r="E13" s="453" t="s">
        <v>20</v>
      </c>
      <c r="F13" s="453" t="s">
        <v>21</v>
      </c>
      <c r="G13" s="453" t="s">
        <v>61</v>
      </c>
      <c r="H13" s="453" t="s">
        <v>62</v>
      </c>
      <c r="I13" s="440" t="s">
        <v>63</v>
      </c>
      <c r="J13" s="440" t="s">
        <v>64</v>
      </c>
      <c r="K13" s="440" t="s">
        <v>6</v>
      </c>
      <c r="L13" s="453" t="s">
        <v>19</v>
      </c>
      <c r="M13" s="453" t="s">
        <v>20</v>
      </c>
      <c r="N13" s="453" t="s">
        <v>21</v>
      </c>
      <c r="O13" s="453" t="s">
        <v>62</v>
      </c>
      <c r="P13" s="440" t="s">
        <v>63</v>
      </c>
      <c r="Q13" s="440" t="s">
        <v>64</v>
      </c>
      <c r="R13" s="440" t="s">
        <v>7</v>
      </c>
      <c r="S13" s="453" t="s">
        <v>19</v>
      </c>
      <c r="T13" s="453" t="s">
        <v>20</v>
      </c>
      <c r="U13" s="453" t="s">
        <v>21</v>
      </c>
      <c r="V13" s="440" t="s">
        <v>65</v>
      </c>
      <c r="W13" s="440" t="s">
        <v>24</v>
      </c>
      <c r="X13" s="440" t="s">
        <v>66</v>
      </c>
      <c r="Y13" s="440" t="s">
        <v>8</v>
      </c>
      <c r="Z13" s="453" t="s">
        <v>19</v>
      </c>
      <c r="AA13" s="453" t="s">
        <v>20</v>
      </c>
      <c r="AB13" s="453" t="s">
        <v>21</v>
      </c>
      <c r="AC13" s="440" t="s">
        <v>67</v>
      </c>
      <c r="AD13" s="440" t="s">
        <v>24</v>
      </c>
      <c r="AE13" s="440" t="s">
        <v>66</v>
      </c>
      <c r="AF13" s="440" t="s">
        <v>68</v>
      </c>
    </row>
    <row r="14" spans="2:32" ht="16">
      <c r="B14" s="7" t="s">
        <v>77</v>
      </c>
      <c r="C14" s="8"/>
      <c r="D14" s="441"/>
      <c r="E14" s="441"/>
      <c r="F14" s="441"/>
      <c r="G14" s="441"/>
      <c r="H14" s="441"/>
      <c r="I14" s="441"/>
      <c r="J14" s="441"/>
      <c r="K14" s="441"/>
      <c r="L14" s="441"/>
      <c r="M14" s="441"/>
      <c r="N14" s="441"/>
      <c r="O14" s="441"/>
      <c r="P14" s="441"/>
      <c r="Q14" s="441"/>
      <c r="R14" s="441"/>
      <c r="S14" s="59"/>
      <c r="T14" s="59"/>
      <c r="U14" s="59"/>
      <c r="V14" s="59"/>
      <c r="W14" s="59"/>
      <c r="X14" s="59"/>
      <c r="Y14" s="59"/>
      <c r="Z14" s="59"/>
      <c r="AA14" s="59"/>
      <c r="AB14" s="59"/>
      <c r="AC14" s="59"/>
      <c r="AD14" s="59"/>
      <c r="AE14" s="59"/>
      <c r="AF14" s="59"/>
    </row>
    <row r="15" spans="2:32" ht="16">
      <c r="B15" s="9"/>
      <c r="C15" s="10" t="s">
        <v>78</v>
      </c>
      <c r="D15" s="384">
        <f>495+2</f>
        <v>497</v>
      </c>
      <c r="E15" s="384">
        <v>468</v>
      </c>
      <c r="F15" s="457">
        <f>390+8</f>
        <v>398</v>
      </c>
      <c r="G15" s="384">
        <v>616</v>
      </c>
      <c r="H15" s="384">
        <f>70+1+4</f>
        <v>75</v>
      </c>
      <c r="I15" s="457">
        <f>46+2</f>
        <v>48</v>
      </c>
      <c r="J15" s="384">
        <v>7</v>
      </c>
      <c r="K15" s="494">
        <f>SUM(D15:J15)</f>
        <v>2109</v>
      </c>
      <c r="L15" s="384">
        <f>465+2</f>
        <v>467</v>
      </c>
      <c r="M15" s="384">
        <v>461</v>
      </c>
      <c r="N15" s="384">
        <f>245+11</f>
        <v>256</v>
      </c>
      <c r="O15" s="384">
        <f>67+1</f>
        <v>68</v>
      </c>
      <c r="P15" s="384">
        <f>42+2</f>
        <v>44</v>
      </c>
      <c r="Q15" s="384">
        <v>8</v>
      </c>
      <c r="R15" s="93">
        <f>SUM(L15:Q15)</f>
        <v>1304</v>
      </c>
      <c r="S15" s="33">
        <v>469</v>
      </c>
      <c r="T15" s="33">
        <v>466</v>
      </c>
      <c r="U15" s="33">
        <v>105</v>
      </c>
      <c r="V15" s="33">
        <v>51</v>
      </c>
      <c r="W15" s="33">
        <v>67</v>
      </c>
      <c r="X15" s="33">
        <v>9</v>
      </c>
      <c r="Y15" s="93">
        <f>SUM(S15:X15)</f>
        <v>1167</v>
      </c>
      <c r="Z15" s="33">
        <v>451</v>
      </c>
      <c r="AA15" s="33">
        <v>466</v>
      </c>
      <c r="AB15" s="33">
        <v>52</v>
      </c>
      <c r="AC15" s="33">
        <v>50</v>
      </c>
      <c r="AD15" s="33">
        <f>37+22</f>
        <v>59</v>
      </c>
      <c r="AE15" s="33">
        <f>11+7</f>
        <v>18</v>
      </c>
      <c r="AF15" s="93">
        <f>SUM(Z15:AE15)</f>
        <v>1096</v>
      </c>
    </row>
    <row r="16" spans="2:32" ht="16">
      <c r="B16" s="9"/>
      <c r="C16" s="10" t="s">
        <v>79</v>
      </c>
      <c r="D16" s="384">
        <v>98</v>
      </c>
      <c r="E16" s="384">
        <v>41</v>
      </c>
      <c r="F16" s="457">
        <v>72</v>
      </c>
      <c r="G16" s="384">
        <v>40</v>
      </c>
      <c r="H16" s="457">
        <v>20</v>
      </c>
      <c r="I16" s="457">
        <v>36</v>
      </c>
      <c r="J16" s="384">
        <v>13</v>
      </c>
      <c r="K16" s="494">
        <f>SUM(D16:J16)</f>
        <v>320</v>
      </c>
      <c r="L16" s="384">
        <f>91</f>
        <v>91</v>
      </c>
      <c r="M16" s="384">
        <v>40</v>
      </c>
      <c r="N16" s="384">
        <f>46</f>
        <v>46</v>
      </c>
      <c r="O16" s="384">
        <v>16</v>
      </c>
      <c r="P16" s="384">
        <f>34</f>
        <v>34</v>
      </c>
      <c r="Q16" s="384">
        <v>11</v>
      </c>
      <c r="R16" s="93">
        <f>SUM(L16:Q16)</f>
        <v>238</v>
      </c>
      <c r="S16" s="33">
        <v>93</v>
      </c>
      <c r="T16" s="33">
        <v>38</v>
      </c>
      <c r="U16" s="33">
        <v>21</v>
      </c>
      <c r="V16" s="33">
        <v>32</v>
      </c>
      <c r="W16" s="33">
        <v>14</v>
      </c>
      <c r="X16" s="33">
        <v>10</v>
      </c>
      <c r="Y16" s="93">
        <f>SUM(S16:X16)</f>
        <v>208</v>
      </c>
      <c r="Z16" s="33">
        <v>86</v>
      </c>
      <c r="AA16" s="33">
        <v>37</v>
      </c>
      <c r="AB16" s="33">
        <v>17</v>
      </c>
      <c r="AC16" s="33">
        <v>32</v>
      </c>
      <c r="AD16" s="33">
        <f>9+5</f>
        <v>14</v>
      </c>
      <c r="AE16" s="33">
        <v>7</v>
      </c>
      <c r="AF16" s="93">
        <f>SUM(Z16:AE16)</f>
        <v>193</v>
      </c>
    </row>
    <row r="17" spans="2:32" ht="16">
      <c r="B17" s="13"/>
      <c r="C17" s="14" t="s">
        <v>60</v>
      </c>
      <c r="D17" s="343">
        <f t="shared" ref="D17:I17" si="0">+D15+D16</f>
        <v>595</v>
      </c>
      <c r="E17" s="343">
        <f>+E16+E15</f>
        <v>509</v>
      </c>
      <c r="F17" s="343">
        <f>+F15+F16</f>
        <v>470</v>
      </c>
      <c r="G17" s="343">
        <f>+G15+G16</f>
        <v>656</v>
      </c>
      <c r="H17" s="343">
        <f t="shared" si="0"/>
        <v>95</v>
      </c>
      <c r="I17" s="343">
        <f t="shared" si="0"/>
        <v>84</v>
      </c>
      <c r="J17" s="458">
        <f>+J15+J16</f>
        <v>20</v>
      </c>
      <c r="K17" s="522">
        <f>SUM(K15:K16)</f>
        <v>2429</v>
      </c>
      <c r="L17" s="343">
        <f t="shared" ref="L17:Q17" si="1">+L15+L16</f>
        <v>558</v>
      </c>
      <c r="M17" s="343">
        <f t="shared" si="1"/>
        <v>501</v>
      </c>
      <c r="N17" s="343">
        <f t="shared" si="1"/>
        <v>302</v>
      </c>
      <c r="O17" s="343">
        <f t="shared" si="1"/>
        <v>84</v>
      </c>
      <c r="P17" s="343">
        <f t="shared" si="1"/>
        <v>78</v>
      </c>
      <c r="Q17" s="458">
        <f t="shared" si="1"/>
        <v>19</v>
      </c>
      <c r="R17" s="459">
        <f t="shared" ref="R17:AF17" si="2">SUM(R15:R16)</f>
        <v>1542</v>
      </c>
      <c r="S17" s="54">
        <f t="shared" si="2"/>
        <v>562</v>
      </c>
      <c r="T17" s="54">
        <f t="shared" si="2"/>
        <v>504</v>
      </c>
      <c r="U17" s="54">
        <f t="shared" si="2"/>
        <v>126</v>
      </c>
      <c r="V17" s="54">
        <f t="shared" si="2"/>
        <v>83</v>
      </c>
      <c r="W17" s="54">
        <f t="shared" si="2"/>
        <v>81</v>
      </c>
      <c r="X17" s="54">
        <f t="shared" si="2"/>
        <v>19</v>
      </c>
      <c r="Y17" s="460">
        <f t="shared" si="2"/>
        <v>1375</v>
      </c>
      <c r="Z17" s="54">
        <f t="shared" si="2"/>
        <v>537</v>
      </c>
      <c r="AA17" s="54">
        <f t="shared" si="2"/>
        <v>503</v>
      </c>
      <c r="AB17" s="54">
        <f t="shared" si="2"/>
        <v>69</v>
      </c>
      <c r="AC17" s="54">
        <f t="shared" si="2"/>
        <v>82</v>
      </c>
      <c r="AD17" s="54">
        <f t="shared" si="2"/>
        <v>73</v>
      </c>
      <c r="AE17" s="54">
        <f t="shared" si="2"/>
        <v>25</v>
      </c>
      <c r="AF17" s="460">
        <f t="shared" si="2"/>
        <v>1289</v>
      </c>
    </row>
    <row r="18" spans="2:32" ht="16">
      <c r="B18" s="9"/>
      <c r="C18" s="10" t="s">
        <v>80</v>
      </c>
      <c r="D18" s="351">
        <f t="shared" ref="D18:J18" si="3">D16/D17</f>
        <v>0.16470588235294117</v>
      </c>
      <c r="E18" s="351">
        <f t="shared" si="3"/>
        <v>8.0550098231827114E-2</v>
      </c>
      <c r="F18" s="351">
        <f t="shared" si="3"/>
        <v>0.15319148936170213</v>
      </c>
      <c r="G18" s="351">
        <f t="shared" si="3"/>
        <v>6.097560975609756E-2</v>
      </c>
      <c r="H18" s="351">
        <f t="shared" si="3"/>
        <v>0.21052631578947367</v>
      </c>
      <c r="I18" s="351">
        <f t="shared" si="3"/>
        <v>0.42857142857142855</v>
      </c>
      <c r="J18" s="351">
        <f t="shared" si="3"/>
        <v>0.65</v>
      </c>
      <c r="K18" s="523">
        <f>K16/K17</f>
        <v>0.13174145738987236</v>
      </c>
      <c r="L18" s="351">
        <f t="shared" ref="L18:AF18" si="4">L16/L17</f>
        <v>0.16308243727598568</v>
      </c>
      <c r="M18" s="351">
        <f t="shared" si="4"/>
        <v>7.9840319361277445E-2</v>
      </c>
      <c r="N18" s="351">
        <f t="shared" si="4"/>
        <v>0.15231788079470199</v>
      </c>
      <c r="O18" s="351">
        <f t="shared" si="4"/>
        <v>0.19047619047619047</v>
      </c>
      <c r="P18" s="351">
        <f t="shared" si="4"/>
        <v>0.4358974358974359</v>
      </c>
      <c r="Q18" s="351">
        <f t="shared" si="4"/>
        <v>0.57894736842105265</v>
      </c>
      <c r="R18" s="461">
        <f t="shared" si="4"/>
        <v>0.15434500648508431</v>
      </c>
      <c r="S18" s="92">
        <f t="shared" si="4"/>
        <v>0.16548042704626334</v>
      </c>
      <c r="T18" s="92">
        <f t="shared" si="4"/>
        <v>7.5396825396825393E-2</v>
      </c>
      <c r="U18" s="92">
        <f t="shared" si="4"/>
        <v>0.16666666666666666</v>
      </c>
      <c r="V18" s="92">
        <f t="shared" si="4"/>
        <v>0.38554216867469882</v>
      </c>
      <c r="W18" s="92">
        <f t="shared" si="4"/>
        <v>0.1728395061728395</v>
      </c>
      <c r="X18" s="92">
        <f t="shared" si="4"/>
        <v>0.52631578947368418</v>
      </c>
      <c r="Y18" s="461">
        <f t="shared" si="4"/>
        <v>0.15127272727272728</v>
      </c>
      <c r="Z18" s="92">
        <f t="shared" si="4"/>
        <v>0.16014897579143389</v>
      </c>
      <c r="AA18" s="92">
        <f t="shared" si="4"/>
        <v>7.3558648111332003E-2</v>
      </c>
      <c r="AB18" s="92">
        <f t="shared" si="4"/>
        <v>0.24637681159420291</v>
      </c>
      <c r="AC18" s="92">
        <f t="shared" si="4"/>
        <v>0.3902439024390244</v>
      </c>
      <c r="AD18" s="92">
        <f t="shared" si="4"/>
        <v>0.19178082191780821</v>
      </c>
      <c r="AE18" s="92">
        <f t="shared" si="4"/>
        <v>0.28000000000000003</v>
      </c>
      <c r="AF18" s="461">
        <f t="shared" si="4"/>
        <v>0.14972847168347556</v>
      </c>
    </row>
    <row r="19" spans="2:32" ht="16">
      <c r="B19" s="23" t="s">
        <v>81</v>
      </c>
      <c r="C19" s="23"/>
      <c r="D19" s="59"/>
      <c r="F19" s="59"/>
      <c r="G19" s="59"/>
      <c r="H19" s="59"/>
      <c r="I19" s="59"/>
      <c r="J19" s="59"/>
      <c r="K19" s="462"/>
      <c r="L19" s="59"/>
      <c r="M19" s="59"/>
      <c r="N19" s="59"/>
      <c r="O19" s="59"/>
      <c r="P19" s="59"/>
      <c r="Q19" s="59"/>
      <c r="R19" s="462"/>
      <c r="S19" s="59"/>
      <c r="T19" s="59"/>
      <c r="U19" s="59"/>
      <c r="V19" s="59"/>
      <c r="W19" s="59"/>
      <c r="X19" s="59"/>
      <c r="Y19" s="59"/>
      <c r="Z19" s="59"/>
      <c r="AA19" s="59"/>
      <c r="AB19" s="59"/>
      <c r="AC19" s="59"/>
      <c r="AD19" s="59"/>
      <c r="AE19" s="59"/>
      <c r="AF19" s="59"/>
    </row>
    <row r="20" spans="2:32" ht="17" thickBot="1">
      <c r="B20" s="285"/>
      <c r="C20" s="286"/>
      <c r="D20" s="306"/>
      <c r="E20" s="306"/>
      <c r="F20" s="306"/>
      <c r="G20" s="306"/>
      <c r="H20" s="306"/>
      <c r="I20" s="306"/>
      <c r="J20" s="306"/>
      <c r="K20" s="313"/>
      <c r="L20" s="306"/>
      <c r="M20" s="306"/>
      <c r="N20" s="306"/>
      <c r="O20" s="306"/>
      <c r="P20" s="306"/>
      <c r="Q20" s="306"/>
      <c r="R20" s="313"/>
      <c r="S20" s="313"/>
      <c r="T20" s="313"/>
      <c r="U20" s="313"/>
      <c r="V20" s="313"/>
      <c r="W20" s="313"/>
      <c r="X20" s="313"/>
      <c r="Y20" s="313"/>
      <c r="Z20" s="313"/>
      <c r="AA20" s="313"/>
      <c r="AB20" s="313"/>
      <c r="AC20" s="313"/>
      <c r="AD20" s="313"/>
      <c r="AE20" s="313"/>
      <c r="AF20" s="313"/>
    </row>
    <row r="21" spans="2:32" ht="16">
      <c r="B21" s="7" t="s">
        <v>82</v>
      </c>
      <c r="C21" s="8"/>
      <c r="D21" s="441"/>
      <c r="E21" s="441"/>
      <c r="F21" s="441"/>
      <c r="G21" s="441"/>
      <c r="H21" s="441"/>
      <c r="I21" s="441"/>
      <c r="J21" s="441"/>
      <c r="K21" s="59"/>
      <c r="L21" s="441"/>
      <c r="M21" s="441"/>
      <c r="N21" s="441"/>
      <c r="O21" s="441"/>
      <c r="P21" s="441"/>
      <c r="Q21" s="441"/>
      <c r="R21" s="59"/>
      <c r="S21" s="59"/>
      <c r="T21" s="59"/>
      <c r="U21" s="59"/>
      <c r="V21" s="59"/>
      <c r="W21" s="59"/>
      <c r="X21" s="59"/>
      <c r="Y21" s="59"/>
      <c r="Z21" s="59"/>
      <c r="AA21" s="59"/>
      <c r="AB21" s="59"/>
      <c r="AC21" s="59"/>
      <c r="AD21" s="59"/>
      <c r="AE21" s="59"/>
      <c r="AF21" s="59"/>
    </row>
    <row r="22" spans="2:32" ht="16">
      <c r="B22" s="9"/>
      <c r="C22" s="10" t="s">
        <v>83</v>
      </c>
      <c r="D22" s="384">
        <v>245</v>
      </c>
      <c r="E22" s="384">
        <v>220</v>
      </c>
      <c r="F22" s="384">
        <v>510</v>
      </c>
      <c r="G22" s="384">
        <v>1647</v>
      </c>
      <c r="H22" s="384">
        <v>0</v>
      </c>
      <c r="I22" s="384">
        <v>1</v>
      </c>
      <c r="J22" s="384">
        <v>0</v>
      </c>
      <c r="K22" s="494">
        <f>SUM(D22:J22)</f>
        <v>2623</v>
      </c>
      <c r="L22" s="384">
        <v>205</v>
      </c>
      <c r="M22" s="384">
        <v>205</v>
      </c>
      <c r="N22" s="384">
        <v>822</v>
      </c>
      <c r="O22" s="384">
        <v>0</v>
      </c>
      <c r="P22" s="384">
        <v>0</v>
      </c>
      <c r="Q22" s="384">
        <v>0</v>
      </c>
      <c r="R22" s="93">
        <f>SUM(L22:Q22)</f>
        <v>1232</v>
      </c>
      <c r="S22" s="33">
        <v>335</v>
      </c>
      <c r="T22" s="33">
        <v>187</v>
      </c>
      <c r="U22" s="33">
        <v>348</v>
      </c>
      <c r="V22" s="33">
        <v>4</v>
      </c>
      <c r="W22" s="33">
        <v>0</v>
      </c>
      <c r="X22" s="33">
        <v>0</v>
      </c>
      <c r="Y22" s="93">
        <f>SUM(S22:X22)</f>
        <v>874</v>
      </c>
      <c r="Z22" s="33">
        <v>259</v>
      </c>
      <c r="AA22" s="33">
        <v>135</v>
      </c>
      <c r="AB22" s="33">
        <v>131</v>
      </c>
      <c r="AC22" s="33">
        <v>0</v>
      </c>
      <c r="AD22" s="33">
        <v>0</v>
      </c>
      <c r="AE22" s="33">
        <v>0</v>
      </c>
      <c r="AF22" s="93">
        <f>SUM(Z22:AE22)</f>
        <v>525</v>
      </c>
    </row>
    <row r="23" spans="2:32" ht="16">
      <c r="B23" s="9"/>
      <c r="C23" s="10" t="s">
        <v>84</v>
      </c>
      <c r="D23" s="384">
        <v>15</v>
      </c>
      <c r="E23" s="384">
        <v>15</v>
      </c>
      <c r="F23" s="384">
        <v>59</v>
      </c>
      <c r="G23" s="384">
        <v>173</v>
      </c>
      <c r="H23" s="384">
        <v>0</v>
      </c>
      <c r="I23" s="384">
        <v>6</v>
      </c>
      <c r="J23" s="384">
        <v>0</v>
      </c>
      <c r="K23" s="494">
        <f>SUM(D23:J23)</f>
        <v>268</v>
      </c>
      <c r="L23" s="384">
        <v>12</v>
      </c>
      <c r="M23" s="384">
        <v>12</v>
      </c>
      <c r="N23" s="384">
        <v>57</v>
      </c>
      <c r="O23" s="384">
        <v>0</v>
      </c>
      <c r="P23" s="384">
        <v>7</v>
      </c>
      <c r="Q23" s="384">
        <v>0</v>
      </c>
      <c r="R23" s="93">
        <f>SUM(L23:Q23)</f>
        <v>88</v>
      </c>
      <c r="S23" s="33">
        <v>21</v>
      </c>
      <c r="T23" s="33">
        <v>10</v>
      </c>
      <c r="U23" s="33">
        <v>43</v>
      </c>
      <c r="V23" s="33">
        <v>7</v>
      </c>
      <c r="W23" s="33">
        <v>0</v>
      </c>
      <c r="X23" s="33">
        <v>0</v>
      </c>
      <c r="Y23" s="93">
        <f>SUM(S23:X23)</f>
        <v>81</v>
      </c>
      <c r="Z23" s="33">
        <v>22</v>
      </c>
      <c r="AA23" s="33">
        <v>4</v>
      </c>
      <c r="AB23" s="33">
        <v>15</v>
      </c>
      <c r="AC23" s="33">
        <v>0</v>
      </c>
      <c r="AD23" s="33">
        <v>0</v>
      </c>
      <c r="AE23" s="33">
        <v>0</v>
      </c>
      <c r="AF23" s="93">
        <f>SUM(Z23:AE23)</f>
        <v>41</v>
      </c>
    </row>
    <row r="24" spans="2:32" ht="16">
      <c r="B24" s="13"/>
      <c r="C24" s="14" t="s">
        <v>85</v>
      </c>
      <c r="D24" s="343">
        <f t="shared" ref="D24:J24" si="5">+D22+D23</f>
        <v>260</v>
      </c>
      <c r="E24" s="343">
        <f t="shared" si="5"/>
        <v>235</v>
      </c>
      <c r="F24" s="343">
        <f>+F22+F23</f>
        <v>569</v>
      </c>
      <c r="G24" s="343">
        <f>+G22+G23</f>
        <v>1820</v>
      </c>
      <c r="H24" s="343">
        <f t="shared" si="5"/>
        <v>0</v>
      </c>
      <c r="I24" s="343">
        <f t="shared" si="5"/>
        <v>7</v>
      </c>
      <c r="J24" s="384">
        <f t="shared" si="5"/>
        <v>0</v>
      </c>
      <c r="K24" s="522">
        <f>SUM(K22:K23)</f>
        <v>2891</v>
      </c>
      <c r="L24" s="343">
        <f t="shared" ref="L24:Q24" si="6">+L22+L23</f>
        <v>217</v>
      </c>
      <c r="M24" s="343">
        <f t="shared" si="6"/>
        <v>217</v>
      </c>
      <c r="N24" s="343">
        <f t="shared" si="6"/>
        <v>879</v>
      </c>
      <c r="O24" s="343">
        <f t="shared" si="6"/>
        <v>0</v>
      </c>
      <c r="P24" s="343">
        <f t="shared" si="6"/>
        <v>7</v>
      </c>
      <c r="Q24" s="384">
        <f t="shared" si="6"/>
        <v>0</v>
      </c>
      <c r="R24" s="460">
        <f t="shared" ref="R24:AF24" si="7">SUM(R22:R23)</f>
        <v>1320</v>
      </c>
      <c r="S24" s="54">
        <f t="shared" si="7"/>
        <v>356</v>
      </c>
      <c r="T24" s="54">
        <f t="shared" si="7"/>
        <v>197</v>
      </c>
      <c r="U24" s="54">
        <f t="shared" si="7"/>
        <v>391</v>
      </c>
      <c r="V24" s="54">
        <f t="shared" si="7"/>
        <v>11</v>
      </c>
      <c r="W24" s="54">
        <f t="shared" si="7"/>
        <v>0</v>
      </c>
      <c r="X24" s="54">
        <f t="shared" si="7"/>
        <v>0</v>
      </c>
      <c r="Y24" s="460">
        <f t="shared" si="7"/>
        <v>955</v>
      </c>
      <c r="Z24" s="54">
        <f t="shared" si="7"/>
        <v>281</v>
      </c>
      <c r="AA24" s="54">
        <f t="shared" si="7"/>
        <v>139</v>
      </c>
      <c r="AB24" s="54">
        <f t="shared" si="7"/>
        <v>146</v>
      </c>
      <c r="AC24" s="54">
        <f t="shared" si="7"/>
        <v>0</v>
      </c>
      <c r="AD24" s="54">
        <f t="shared" si="7"/>
        <v>0</v>
      </c>
      <c r="AE24" s="54">
        <f t="shared" si="7"/>
        <v>0</v>
      </c>
      <c r="AF24" s="460">
        <f t="shared" si="7"/>
        <v>566</v>
      </c>
    </row>
    <row r="25" spans="2:32" ht="16">
      <c r="B25" s="9"/>
      <c r="C25" s="10" t="s">
        <v>86</v>
      </c>
      <c r="D25" s="351">
        <f>D23/D24</f>
        <v>5.7692307692307696E-2</v>
      </c>
      <c r="E25" s="351">
        <f>E23/E24</f>
        <v>6.3829787234042548E-2</v>
      </c>
      <c r="F25" s="351">
        <f>F23/F24</f>
        <v>0.10369068541300527</v>
      </c>
      <c r="G25" s="351">
        <f>G23/G24</f>
        <v>9.505494505494505E-2</v>
      </c>
      <c r="H25" s="351">
        <v>0</v>
      </c>
      <c r="I25" s="351">
        <f>I23/I24</f>
        <v>0.8571428571428571</v>
      </c>
      <c r="J25" s="351">
        <v>0</v>
      </c>
      <c r="K25" s="519">
        <f>+K23/K24</f>
        <v>9.2701487374610855E-2</v>
      </c>
      <c r="L25" s="351">
        <f>L23/L24</f>
        <v>5.5299539170506916E-2</v>
      </c>
      <c r="M25" s="351">
        <f>M23/M24</f>
        <v>5.5299539170506916E-2</v>
      </c>
      <c r="N25" s="351">
        <f>N23/N24</f>
        <v>6.4846416382252553E-2</v>
      </c>
      <c r="O25" s="351">
        <v>0</v>
      </c>
      <c r="P25" s="351">
        <f>P23/P24</f>
        <v>1</v>
      </c>
      <c r="Q25" s="351">
        <v>0</v>
      </c>
      <c r="R25" s="91">
        <f>+R23/R24</f>
        <v>6.6666666666666666E-2</v>
      </c>
      <c r="S25" s="92">
        <f>+S23/S24</f>
        <v>5.8988764044943819E-2</v>
      </c>
      <c r="T25" s="92">
        <f>+T23/T24</f>
        <v>5.0761421319796954E-2</v>
      </c>
      <c r="U25" s="92">
        <f>+U23/U24</f>
        <v>0.10997442455242967</v>
      </c>
      <c r="V25" s="92">
        <v>0</v>
      </c>
      <c r="W25" s="92">
        <v>0</v>
      </c>
      <c r="X25" s="92">
        <v>0</v>
      </c>
      <c r="Y25" s="91">
        <f>+Y23/Y24</f>
        <v>8.4816753926701571E-2</v>
      </c>
      <c r="Z25" s="92">
        <f>+Z23/Z24</f>
        <v>7.8291814946619215E-2</v>
      </c>
      <c r="AA25" s="92">
        <f>+AA23/AA24</f>
        <v>2.8776978417266189E-2</v>
      </c>
      <c r="AB25" s="92">
        <f>+AB23/AB24</f>
        <v>0.10273972602739725</v>
      </c>
      <c r="AC25" s="92">
        <v>0</v>
      </c>
      <c r="AD25" s="92">
        <v>0</v>
      </c>
      <c r="AE25" s="92">
        <v>0</v>
      </c>
      <c r="AF25" s="91">
        <f>+AF23/AF24</f>
        <v>7.2438162544169613E-2</v>
      </c>
    </row>
    <row r="26" spans="2:32" ht="17" thickBot="1">
      <c r="B26" s="285"/>
      <c r="C26" s="286"/>
      <c r="D26" s="306"/>
      <c r="E26" s="306"/>
      <c r="F26" s="306"/>
      <c r="G26" s="306"/>
      <c r="H26" s="306"/>
      <c r="I26" s="306"/>
      <c r="J26" s="306"/>
      <c r="K26" s="463"/>
      <c r="L26" s="306"/>
      <c r="M26" s="306"/>
      <c r="N26" s="306"/>
      <c r="O26" s="306"/>
      <c r="P26" s="306"/>
      <c r="Q26" s="306"/>
      <c r="R26" s="463"/>
      <c r="S26" s="313"/>
      <c r="T26" s="313"/>
      <c r="U26" s="313"/>
      <c r="V26" s="313"/>
      <c r="W26" s="313"/>
      <c r="X26" s="313"/>
      <c r="Y26" s="464"/>
      <c r="Z26" s="313"/>
      <c r="AA26" s="313"/>
      <c r="AB26" s="313"/>
      <c r="AC26" s="313"/>
      <c r="AD26" s="313"/>
      <c r="AE26" s="313"/>
      <c r="AF26" s="313"/>
    </row>
    <row r="27" spans="2:32" ht="16">
      <c r="B27" s="7" t="s">
        <v>87</v>
      </c>
      <c r="C27" s="8"/>
      <c r="D27" s="441"/>
      <c r="E27" s="441"/>
      <c r="F27" s="441"/>
      <c r="G27" s="441"/>
      <c r="H27" s="441"/>
      <c r="I27" s="441"/>
      <c r="J27" s="441"/>
      <c r="K27" s="462"/>
      <c r="L27" s="441"/>
      <c r="M27" s="441"/>
      <c r="N27" s="441"/>
      <c r="O27" s="441"/>
      <c r="P27" s="441"/>
      <c r="Q27" s="441"/>
      <c r="R27" s="462"/>
      <c r="S27" s="59"/>
      <c r="T27" s="59"/>
      <c r="U27" s="59"/>
      <c r="V27" s="59"/>
      <c r="W27" s="59"/>
      <c r="X27" s="59"/>
      <c r="Y27" s="59"/>
      <c r="Z27" s="59"/>
      <c r="AA27" s="59"/>
      <c r="AB27" s="59"/>
      <c r="AC27" s="59"/>
      <c r="AD27" s="59"/>
      <c r="AE27" s="59"/>
      <c r="AF27" s="59"/>
    </row>
    <row r="28" spans="2:32" ht="16">
      <c r="B28" s="9"/>
      <c r="C28" s="10" t="s">
        <v>88</v>
      </c>
      <c r="D28" s="384">
        <f t="shared" ref="D28:J29" si="8">+D15+D22</f>
        <v>742</v>
      </c>
      <c r="E28" s="384">
        <f>+E15+E22</f>
        <v>688</v>
      </c>
      <c r="F28" s="384">
        <f t="shared" si="8"/>
        <v>908</v>
      </c>
      <c r="G28" s="384">
        <f t="shared" si="8"/>
        <v>2263</v>
      </c>
      <c r="H28" s="384">
        <f t="shared" si="8"/>
        <v>75</v>
      </c>
      <c r="I28" s="384">
        <f t="shared" si="8"/>
        <v>49</v>
      </c>
      <c r="J28" s="384">
        <f t="shared" si="8"/>
        <v>7</v>
      </c>
      <c r="K28" s="494">
        <f>K22+K15</f>
        <v>4732</v>
      </c>
      <c r="L28" s="384">
        <f t="shared" ref="L28:Q28" si="9">+L15+L22</f>
        <v>672</v>
      </c>
      <c r="M28" s="384">
        <f t="shared" si="9"/>
        <v>666</v>
      </c>
      <c r="N28" s="384">
        <f t="shared" si="9"/>
        <v>1078</v>
      </c>
      <c r="O28" s="384">
        <f t="shared" si="9"/>
        <v>68</v>
      </c>
      <c r="P28" s="384">
        <f t="shared" si="9"/>
        <v>44</v>
      </c>
      <c r="Q28" s="384">
        <f t="shared" si="9"/>
        <v>8</v>
      </c>
      <c r="R28" s="93">
        <f>R22+R15</f>
        <v>2536</v>
      </c>
      <c r="S28" s="33">
        <v>804</v>
      </c>
      <c r="T28" s="33">
        <v>653</v>
      </c>
      <c r="U28" s="33">
        <v>453</v>
      </c>
      <c r="V28" s="33">
        <v>55</v>
      </c>
      <c r="W28" s="33">
        <v>67</v>
      </c>
      <c r="X28" s="33">
        <v>9</v>
      </c>
      <c r="Y28" s="93">
        <f t="shared" ref="Y28:AF28" si="10">Y22+Y15</f>
        <v>2041</v>
      </c>
      <c r="Z28" s="33">
        <f t="shared" si="10"/>
        <v>710</v>
      </c>
      <c r="AA28" s="33">
        <f t="shared" si="10"/>
        <v>601</v>
      </c>
      <c r="AB28" s="33">
        <f t="shared" si="10"/>
        <v>183</v>
      </c>
      <c r="AC28" s="33">
        <f t="shared" si="10"/>
        <v>50</v>
      </c>
      <c r="AD28" s="33">
        <f t="shared" si="10"/>
        <v>59</v>
      </c>
      <c r="AE28" s="33">
        <f t="shared" si="10"/>
        <v>18</v>
      </c>
      <c r="AF28" s="93">
        <f t="shared" si="10"/>
        <v>1621</v>
      </c>
    </row>
    <row r="29" spans="2:32" ht="16">
      <c r="B29" s="9"/>
      <c r="C29" s="10" t="s">
        <v>89</v>
      </c>
      <c r="D29" s="384">
        <f>+D16+D23</f>
        <v>113</v>
      </c>
      <c r="E29" s="384">
        <f>+E16+E23</f>
        <v>56</v>
      </c>
      <c r="F29" s="384">
        <f>+F16+F23</f>
        <v>131</v>
      </c>
      <c r="G29" s="384">
        <f>+G16+G23</f>
        <v>213</v>
      </c>
      <c r="H29" s="384">
        <f t="shared" si="8"/>
        <v>20</v>
      </c>
      <c r="I29" s="384">
        <f>+I16+I23</f>
        <v>42</v>
      </c>
      <c r="J29" s="384">
        <f>+J16+J23</f>
        <v>13</v>
      </c>
      <c r="K29" s="494">
        <f>K23+K16</f>
        <v>588</v>
      </c>
      <c r="L29" s="384">
        <f t="shared" ref="L29:Q29" si="11">+L16+L23</f>
        <v>103</v>
      </c>
      <c r="M29" s="384">
        <f t="shared" si="11"/>
        <v>52</v>
      </c>
      <c r="N29" s="384">
        <f t="shared" si="11"/>
        <v>103</v>
      </c>
      <c r="O29" s="384">
        <f t="shared" si="11"/>
        <v>16</v>
      </c>
      <c r="P29" s="384">
        <f t="shared" si="11"/>
        <v>41</v>
      </c>
      <c r="Q29" s="384">
        <f t="shared" si="11"/>
        <v>11</v>
      </c>
      <c r="R29" s="93">
        <f>R23+R16</f>
        <v>326</v>
      </c>
      <c r="S29" s="33">
        <v>114</v>
      </c>
      <c r="T29" s="33">
        <v>48</v>
      </c>
      <c r="U29" s="33">
        <v>64</v>
      </c>
      <c r="V29" s="33">
        <v>39</v>
      </c>
      <c r="W29" s="33">
        <v>14</v>
      </c>
      <c r="X29" s="33">
        <v>10</v>
      </c>
      <c r="Y29" s="93">
        <f t="shared" ref="Y29:AF29" si="12">Y23+Y16</f>
        <v>289</v>
      </c>
      <c r="Z29" s="33">
        <f t="shared" si="12"/>
        <v>108</v>
      </c>
      <c r="AA29" s="33">
        <f t="shared" si="12"/>
        <v>41</v>
      </c>
      <c r="AB29" s="33">
        <f t="shared" si="12"/>
        <v>32</v>
      </c>
      <c r="AC29" s="33">
        <f t="shared" si="12"/>
        <v>32</v>
      </c>
      <c r="AD29" s="33">
        <f t="shared" si="12"/>
        <v>14</v>
      </c>
      <c r="AE29" s="33">
        <f t="shared" si="12"/>
        <v>7</v>
      </c>
      <c r="AF29" s="93">
        <f t="shared" si="12"/>
        <v>234</v>
      </c>
    </row>
    <row r="30" spans="2:32" ht="15.75" customHeight="1">
      <c r="B30" s="13"/>
      <c r="C30" s="14" t="s">
        <v>90</v>
      </c>
      <c r="D30" s="343">
        <f t="shared" ref="D30:J30" si="13">+D28+D29</f>
        <v>855</v>
      </c>
      <c r="E30" s="343">
        <f t="shared" si="13"/>
        <v>744</v>
      </c>
      <c r="F30" s="343">
        <f>+F28+F29</f>
        <v>1039</v>
      </c>
      <c r="G30" s="343">
        <f>+G28+G29</f>
        <v>2476</v>
      </c>
      <c r="H30" s="343">
        <f t="shared" si="13"/>
        <v>95</v>
      </c>
      <c r="I30" s="343">
        <f t="shared" si="13"/>
        <v>91</v>
      </c>
      <c r="J30" s="384">
        <f t="shared" si="13"/>
        <v>20</v>
      </c>
      <c r="K30" s="522">
        <f>SUM(K28:K29)</f>
        <v>5320</v>
      </c>
      <c r="L30" s="343">
        <f t="shared" ref="L30:Q30" si="14">+L28+L29</f>
        <v>775</v>
      </c>
      <c r="M30" s="343">
        <f t="shared" si="14"/>
        <v>718</v>
      </c>
      <c r="N30" s="343">
        <f t="shared" si="14"/>
        <v>1181</v>
      </c>
      <c r="O30" s="343">
        <f t="shared" si="14"/>
        <v>84</v>
      </c>
      <c r="P30" s="343">
        <f t="shared" si="14"/>
        <v>85</v>
      </c>
      <c r="Q30" s="384">
        <f t="shared" si="14"/>
        <v>19</v>
      </c>
      <c r="R30" s="460">
        <f t="shared" ref="R30:AF30" si="15">SUM(R28:R29)</f>
        <v>2862</v>
      </c>
      <c r="S30" s="54">
        <f t="shared" si="15"/>
        <v>918</v>
      </c>
      <c r="T30" s="54">
        <f t="shared" si="15"/>
        <v>701</v>
      </c>
      <c r="U30" s="54">
        <f t="shared" si="15"/>
        <v>517</v>
      </c>
      <c r="V30" s="54">
        <f t="shared" si="15"/>
        <v>94</v>
      </c>
      <c r="W30" s="54">
        <f t="shared" si="15"/>
        <v>81</v>
      </c>
      <c r="X30" s="54">
        <f t="shared" si="15"/>
        <v>19</v>
      </c>
      <c r="Y30" s="460">
        <f t="shared" si="15"/>
        <v>2330</v>
      </c>
      <c r="Z30" s="54">
        <f t="shared" si="15"/>
        <v>818</v>
      </c>
      <c r="AA30" s="54">
        <f t="shared" si="15"/>
        <v>642</v>
      </c>
      <c r="AB30" s="54">
        <f t="shared" si="15"/>
        <v>215</v>
      </c>
      <c r="AC30" s="54">
        <f t="shared" si="15"/>
        <v>82</v>
      </c>
      <c r="AD30" s="54">
        <f t="shared" si="15"/>
        <v>73</v>
      </c>
      <c r="AE30" s="54">
        <f t="shared" si="15"/>
        <v>25</v>
      </c>
      <c r="AF30" s="460">
        <f t="shared" si="15"/>
        <v>1855</v>
      </c>
    </row>
    <row r="31" spans="2:32" ht="15.75" customHeight="1">
      <c r="B31" s="9"/>
      <c r="C31" s="10" t="s">
        <v>86</v>
      </c>
      <c r="D31" s="351">
        <f t="shared" ref="D31:I31" si="16">(D16+D23)/D30</f>
        <v>0.13216374269005848</v>
      </c>
      <c r="E31" s="351">
        <f t="shared" si="16"/>
        <v>7.5268817204301078E-2</v>
      </c>
      <c r="F31" s="351">
        <f t="shared" si="16"/>
        <v>0.12608277189605391</v>
      </c>
      <c r="G31" s="351">
        <f t="shared" si="16"/>
        <v>8.6025848142164782E-2</v>
      </c>
      <c r="H31" s="351">
        <f t="shared" si="16"/>
        <v>0.21052631578947367</v>
      </c>
      <c r="I31" s="351">
        <f t="shared" si="16"/>
        <v>0.46153846153846156</v>
      </c>
      <c r="J31" s="351">
        <f>(J16+J23)/J30</f>
        <v>0.65</v>
      </c>
      <c r="K31" s="527">
        <f>(K16+K23)/K30</f>
        <v>0.11052631578947368</v>
      </c>
      <c r="L31" s="384">
        <v>0</v>
      </c>
      <c r="M31" s="384">
        <v>0</v>
      </c>
      <c r="N31" s="384">
        <v>0</v>
      </c>
      <c r="O31" s="384">
        <v>0</v>
      </c>
      <c r="P31" s="384">
        <v>0</v>
      </c>
      <c r="Q31" s="27">
        <v>0</v>
      </c>
      <c r="R31" s="28">
        <v>0</v>
      </c>
      <c r="S31" s="29">
        <v>0</v>
      </c>
      <c r="T31" s="29">
        <v>0</v>
      </c>
      <c r="U31" s="29">
        <v>0</v>
      </c>
      <c r="V31" s="29">
        <v>0</v>
      </c>
      <c r="W31" s="29">
        <v>0</v>
      </c>
      <c r="X31" s="29">
        <v>0</v>
      </c>
      <c r="Y31" s="28">
        <v>0</v>
      </c>
      <c r="Z31" s="29">
        <v>0</v>
      </c>
      <c r="AA31" s="29">
        <v>0</v>
      </c>
      <c r="AB31" s="29">
        <v>0</v>
      </c>
      <c r="AC31" s="29">
        <v>0</v>
      </c>
      <c r="AD31" s="29">
        <v>0</v>
      </c>
      <c r="AE31" s="29">
        <v>0</v>
      </c>
      <c r="AF31" s="28">
        <v>0</v>
      </c>
    </row>
    <row r="33" spans="2:32" ht="15.75" customHeight="1">
      <c r="B33" s="7" t="s">
        <v>91</v>
      </c>
      <c r="C33" s="8"/>
      <c r="D33" s="441"/>
      <c r="E33" s="441"/>
      <c r="F33" s="441"/>
      <c r="G33" s="441"/>
      <c r="H33" s="441"/>
      <c r="I33" s="441"/>
      <c r="J33" s="441"/>
      <c r="K33" s="59"/>
      <c r="L33" s="441"/>
      <c r="M33" s="441"/>
      <c r="N33" s="441"/>
      <c r="O33" s="441"/>
      <c r="P33" s="441"/>
      <c r="Q33" s="441"/>
      <c r="R33" s="59"/>
      <c r="S33" s="59"/>
      <c r="T33" s="59"/>
      <c r="U33" s="59"/>
      <c r="V33" s="59"/>
      <c r="W33" s="59"/>
      <c r="X33" s="59"/>
      <c r="Y33" s="59"/>
      <c r="Z33" s="59"/>
      <c r="AA33" s="59"/>
      <c r="AB33" s="59"/>
      <c r="AC33" s="59"/>
      <c r="AD33" s="59"/>
      <c r="AE33" s="59"/>
      <c r="AF33" s="59"/>
    </row>
    <row r="34" spans="2:32" ht="15.75" customHeight="1">
      <c r="B34" s="9"/>
      <c r="C34" s="10" t="s">
        <v>92</v>
      </c>
      <c r="D34" s="384">
        <f>488+2</f>
        <v>490</v>
      </c>
      <c r="E34" s="384">
        <v>471</v>
      </c>
      <c r="F34" s="384">
        <f>339+8</f>
        <v>347</v>
      </c>
      <c r="G34" s="384">
        <v>635</v>
      </c>
      <c r="H34" s="457">
        <f>79+1</f>
        <v>80</v>
      </c>
      <c r="I34" s="385">
        <f>43+2</f>
        <v>45</v>
      </c>
      <c r="J34" s="384">
        <v>7</v>
      </c>
      <c r="K34" s="494">
        <f>SUM(D34:J34)</f>
        <v>2075</v>
      </c>
      <c r="L34" s="384">
        <f>468+3</f>
        <v>471</v>
      </c>
      <c r="M34" s="384">
        <v>460</v>
      </c>
      <c r="N34" s="384">
        <f>170+12</f>
        <v>182</v>
      </c>
      <c r="O34" s="384">
        <f>67+1</f>
        <v>68</v>
      </c>
      <c r="P34" s="385">
        <f>44+3</f>
        <v>47</v>
      </c>
      <c r="Q34" s="384">
        <v>8</v>
      </c>
      <c r="R34" s="93">
        <f>SUM(L34:Q34)</f>
        <v>1236</v>
      </c>
      <c r="S34" s="33">
        <v>462</v>
      </c>
      <c r="T34" s="33">
        <v>463</v>
      </c>
      <c r="U34" s="33">
        <v>60</v>
      </c>
      <c r="V34" s="33">
        <v>47</v>
      </c>
      <c r="W34" s="33">
        <v>66</v>
      </c>
      <c r="X34" s="33">
        <v>9</v>
      </c>
      <c r="Y34" s="93">
        <f>SUM(S34:X34)</f>
        <v>1107</v>
      </c>
      <c r="Z34" s="33">
        <v>468</v>
      </c>
      <c r="AA34" s="33">
        <v>460</v>
      </c>
      <c r="AB34" s="33">
        <f>7+36+8</f>
        <v>51</v>
      </c>
      <c r="AC34" s="33">
        <v>50</v>
      </c>
      <c r="AD34" s="33">
        <f>41+20</f>
        <v>61</v>
      </c>
      <c r="AE34" s="33">
        <f>12+12</f>
        <v>24</v>
      </c>
      <c r="AF34" s="93">
        <f>SUM(Z34:AE34)</f>
        <v>1114</v>
      </c>
    </row>
    <row r="35" spans="2:32" ht="15.75" customHeight="1">
      <c r="B35" s="9"/>
      <c r="C35" s="10" t="s">
        <v>94</v>
      </c>
      <c r="D35" s="384">
        <v>94</v>
      </c>
      <c r="E35" s="384">
        <v>42</v>
      </c>
      <c r="F35" s="384">
        <v>62</v>
      </c>
      <c r="G35" s="384">
        <v>42</v>
      </c>
      <c r="H35" s="457">
        <v>19</v>
      </c>
      <c r="I35" s="384">
        <v>36</v>
      </c>
      <c r="J35" s="384">
        <v>13</v>
      </c>
      <c r="K35" s="494">
        <f>SUM(D35:J35)</f>
        <v>308</v>
      </c>
      <c r="L35" s="384">
        <v>92</v>
      </c>
      <c r="M35" s="384">
        <v>39</v>
      </c>
      <c r="N35" s="384">
        <v>31</v>
      </c>
      <c r="O35" s="384">
        <v>15</v>
      </c>
      <c r="P35" s="384">
        <v>34</v>
      </c>
      <c r="Q35" s="384">
        <v>11</v>
      </c>
      <c r="R35" s="93">
        <f>SUM(L35:Q35)</f>
        <v>222</v>
      </c>
      <c r="S35" s="33">
        <v>87</v>
      </c>
      <c r="T35" s="33">
        <v>36</v>
      </c>
      <c r="U35" s="33">
        <v>17</v>
      </c>
      <c r="V35" s="33">
        <v>32</v>
      </c>
      <c r="W35" s="33">
        <v>16</v>
      </c>
      <c r="X35" s="33">
        <v>10</v>
      </c>
      <c r="Y35" s="93">
        <f>SUM(S35:X35)</f>
        <v>198</v>
      </c>
      <c r="Z35" s="33">
        <v>83</v>
      </c>
      <c r="AA35" s="33">
        <v>38</v>
      </c>
      <c r="AB35" s="33">
        <f>7+12</f>
        <v>19</v>
      </c>
      <c r="AC35" s="33">
        <v>33</v>
      </c>
      <c r="AD35" s="33">
        <f>10+4</f>
        <v>14</v>
      </c>
      <c r="AE35" s="33">
        <f>8+1</f>
        <v>9</v>
      </c>
      <c r="AF35" s="93">
        <f>SUM(Z35:AE35)</f>
        <v>196</v>
      </c>
    </row>
    <row r="36" spans="2:32" ht="15.75" customHeight="1">
      <c r="B36" s="30"/>
      <c r="C36" s="15" t="s">
        <v>95</v>
      </c>
      <c r="D36" s="344">
        <f t="shared" ref="D36:J36" si="17">+D34+D35</f>
        <v>584</v>
      </c>
      <c r="E36" s="344">
        <f t="shared" si="17"/>
        <v>513</v>
      </c>
      <c r="F36" s="344">
        <f>+F34+F35</f>
        <v>409</v>
      </c>
      <c r="G36" s="344">
        <f>+G34+G35</f>
        <v>677</v>
      </c>
      <c r="H36" s="465">
        <f t="shared" si="17"/>
        <v>99</v>
      </c>
      <c r="I36" s="344">
        <f t="shared" si="17"/>
        <v>81</v>
      </c>
      <c r="J36" s="344">
        <f t="shared" si="17"/>
        <v>20</v>
      </c>
      <c r="K36" s="526">
        <f>SUM(K34:K35)</f>
        <v>2383</v>
      </c>
      <c r="L36" s="344">
        <f t="shared" ref="L36:Q36" si="18">+L34+L35</f>
        <v>563</v>
      </c>
      <c r="M36" s="344">
        <f t="shared" si="18"/>
        <v>499</v>
      </c>
      <c r="N36" s="344">
        <f t="shared" si="18"/>
        <v>213</v>
      </c>
      <c r="O36" s="344">
        <f t="shared" si="18"/>
        <v>83</v>
      </c>
      <c r="P36" s="344">
        <f t="shared" si="18"/>
        <v>81</v>
      </c>
      <c r="Q36" s="344">
        <f t="shared" si="18"/>
        <v>19</v>
      </c>
      <c r="R36" s="466">
        <f t="shared" ref="R36:AF36" si="19">SUM(R34:R35)</f>
        <v>1458</v>
      </c>
      <c r="S36" s="154">
        <f t="shared" si="19"/>
        <v>549</v>
      </c>
      <c r="T36" s="154">
        <f t="shared" si="19"/>
        <v>499</v>
      </c>
      <c r="U36" s="154">
        <f t="shared" si="19"/>
        <v>77</v>
      </c>
      <c r="V36" s="154">
        <f t="shared" si="19"/>
        <v>79</v>
      </c>
      <c r="W36" s="154">
        <f t="shared" si="19"/>
        <v>82</v>
      </c>
      <c r="X36" s="154">
        <f t="shared" si="19"/>
        <v>19</v>
      </c>
      <c r="Y36" s="467">
        <f t="shared" si="19"/>
        <v>1305</v>
      </c>
      <c r="Z36" s="154">
        <f t="shared" si="19"/>
        <v>551</v>
      </c>
      <c r="AA36" s="154">
        <f t="shared" si="19"/>
        <v>498</v>
      </c>
      <c r="AB36" s="154">
        <f t="shared" si="19"/>
        <v>70</v>
      </c>
      <c r="AC36" s="154">
        <f t="shared" si="19"/>
        <v>83</v>
      </c>
      <c r="AD36" s="154">
        <f t="shared" si="19"/>
        <v>75</v>
      </c>
      <c r="AE36" s="154">
        <f t="shared" si="19"/>
        <v>33</v>
      </c>
      <c r="AF36" s="467">
        <f t="shared" si="19"/>
        <v>1310</v>
      </c>
    </row>
    <row r="37" spans="2:32" ht="15.75" customHeight="1" thickBot="1">
      <c r="B37" s="285"/>
      <c r="C37" s="286"/>
      <c r="D37" s="306"/>
      <c r="E37" s="306"/>
      <c r="F37" s="306"/>
      <c r="G37" s="306"/>
      <c r="H37" s="306"/>
      <c r="I37" s="306"/>
      <c r="J37" s="306"/>
      <c r="K37" s="464"/>
      <c r="L37" s="306"/>
      <c r="M37" s="306"/>
      <c r="N37" s="306"/>
      <c r="O37" s="306"/>
      <c r="P37" s="306"/>
      <c r="Q37" s="306"/>
      <c r="R37" s="464"/>
      <c r="S37" s="464"/>
      <c r="T37" s="464"/>
      <c r="U37" s="464"/>
      <c r="V37" s="464"/>
      <c r="W37" s="464"/>
      <c r="X37" s="464"/>
      <c r="Y37" s="464"/>
      <c r="Z37" s="464"/>
      <c r="AA37" s="464"/>
      <c r="AB37" s="464"/>
      <c r="AC37" s="464"/>
      <c r="AD37" s="464"/>
      <c r="AE37" s="464"/>
      <c r="AF37" s="464"/>
    </row>
    <row r="38" spans="2:32" ht="15.75" customHeight="1">
      <c r="B38" s="7" t="s">
        <v>96</v>
      </c>
      <c r="C38" s="8"/>
      <c r="D38" s="441"/>
      <c r="E38" s="441"/>
      <c r="F38" s="441"/>
      <c r="G38" s="441"/>
      <c r="H38" s="441"/>
      <c r="I38" s="441"/>
      <c r="J38" s="441"/>
      <c r="K38" s="58"/>
      <c r="L38" s="441"/>
      <c r="M38" s="441"/>
      <c r="N38" s="441"/>
      <c r="O38" s="441"/>
      <c r="P38" s="441"/>
      <c r="Q38" s="441"/>
      <c r="R38" s="58"/>
      <c r="S38" s="58"/>
      <c r="T38" s="58"/>
      <c r="U38" s="58"/>
      <c r="V38" s="58"/>
      <c r="W38" s="58"/>
      <c r="X38" s="58"/>
      <c r="Y38" s="58"/>
      <c r="Z38" s="58"/>
      <c r="AA38" s="58"/>
      <c r="AB38" s="58"/>
      <c r="AC38" s="58"/>
      <c r="AD38" s="58"/>
      <c r="AE38" s="58"/>
      <c r="AF38" s="58"/>
    </row>
    <row r="39" spans="2:32" ht="15.75" customHeight="1">
      <c r="B39" s="9"/>
      <c r="C39" s="10" t="s">
        <v>97</v>
      </c>
      <c r="D39" s="384">
        <v>221</v>
      </c>
      <c r="E39" s="384">
        <v>210</v>
      </c>
      <c r="F39" s="384">
        <v>644</v>
      </c>
      <c r="G39" s="384">
        <v>1296</v>
      </c>
      <c r="H39" s="384">
        <v>0</v>
      </c>
      <c r="I39" s="384">
        <v>1</v>
      </c>
      <c r="J39" s="384">
        <v>0</v>
      </c>
      <c r="K39" s="494">
        <f>SUM(D39:J39)</f>
        <v>2372</v>
      </c>
      <c r="L39" s="384">
        <v>302</v>
      </c>
      <c r="M39" s="384">
        <v>194</v>
      </c>
      <c r="N39" s="384">
        <v>616</v>
      </c>
      <c r="O39" s="384">
        <v>0</v>
      </c>
      <c r="P39" s="384">
        <v>7</v>
      </c>
      <c r="Q39" s="384">
        <v>0</v>
      </c>
      <c r="R39" s="93">
        <f>SUM(L39:Q39)</f>
        <v>1119</v>
      </c>
      <c r="S39" s="33">
        <v>332</v>
      </c>
      <c r="T39" s="33">
        <v>162</v>
      </c>
      <c r="U39" s="33">
        <v>306</v>
      </c>
      <c r="V39" s="33">
        <v>43</v>
      </c>
      <c r="W39" s="33">
        <v>0</v>
      </c>
      <c r="X39" s="33">
        <v>0</v>
      </c>
      <c r="Y39" s="93">
        <f>SUM(S39:X39)</f>
        <v>843</v>
      </c>
      <c r="Z39" s="33">
        <v>307</v>
      </c>
      <c r="AA39" s="33">
        <v>149</v>
      </c>
      <c r="AB39" s="33">
        <v>92</v>
      </c>
      <c r="AC39" s="33">
        <v>0</v>
      </c>
      <c r="AD39" s="33" t="s">
        <v>26</v>
      </c>
      <c r="AE39" s="33">
        <v>0</v>
      </c>
      <c r="AF39" s="93">
        <f>SUM(Z39:AE39)</f>
        <v>548</v>
      </c>
    </row>
    <row r="40" spans="2:32" ht="15.75" customHeight="1">
      <c r="B40" s="9"/>
      <c r="C40" s="10" t="s">
        <v>98</v>
      </c>
      <c r="D40" s="384">
        <v>17</v>
      </c>
      <c r="E40" s="384">
        <v>14</v>
      </c>
      <c r="F40" s="384">
        <v>62</v>
      </c>
      <c r="G40" s="384">
        <v>143</v>
      </c>
      <c r="H40" s="384">
        <v>0</v>
      </c>
      <c r="I40" s="384">
        <v>6</v>
      </c>
      <c r="J40" s="384">
        <v>0</v>
      </c>
      <c r="K40" s="494">
        <f>SUM(D40:J40)</f>
        <v>242</v>
      </c>
      <c r="L40" s="384">
        <v>20</v>
      </c>
      <c r="M40" s="384">
        <v>11</v>
      </c>
      <c r="N40" s="384">
        <v>50</v>
      </c>
      <c r="O40" s="384">
        <v>0</v>
      </c>
      <c r="P40" s="384">
        <v>0</v>
      </c>
      <c r="Q40" s="384">
        <v>0</v>
      </c>
      <c r="R40" s="93">
        <f>SUM(L40:Q40)</f>
        <v>81</v>
      </c>
      <c r="S40" s="33">
        <v>22</v>
      </c>
      <c r="T40" s="33">
        <v>10</v>
      </c>
      <c r="U40" s="33">
        <v>29</v>
      </c>
      <c r="V40" s="33">
        <v>35</v>
      </c>
      <c r="W40" s="33">
        <v>0</v>
      </c>
      <c r="X40" s="33">
        <v>0</v>
      </c>
      <c r="Y40" s="93">
        <f>SUM(S40:X40)</f>
        <v>96</v>
      </c>
      <c r="Z40" s="33">
        <v>20</v>
      </c>
      <c r="AA40" s="33">
        <v>6</v>
      </c>
      <c r="AB40" s="33">
        <v>10</v>
      </c>
      <c r="AC40" s="33">
        <v>0</v>
      </c>
      <c r="AD40" s="33" t="s">
        <v>26</v>
      </c>
      <c r="AE40" s="33">
        <v>0</v>
      </c>
      <c r="AF40" s="93">
        <f>SUM(Z40:AE40)</f>
        <v>36</v>
      </c>
    </row>
    <row r="41" spans="2:32" ht="15.75" customHeight="1">
      <c r="B41" s="9"/>
      <c r="C41" s="10" t="s">
        <v>99</v>
      </c>
      <c r="D41" s="458">
        <f t="shared" ref="D41:J41" si="20">+D39+D40</f>
        <v>238</v>
      </c>
      <c r="E41" s="458">
        <f t="shared" si="20"/>
        <v>224</v>
      </c>
      <c r="F41" s="458">
        <f>+F39+F40</f>
        <v>706</v>
      </c>
      <c r="G41" s="458">
        <f t="shared" si="20"/>
        <v>1439</v>
      </c>
      <c r="H41" s="458">
        <f t="shared" si="20"/>
        <v>0</v>
      </c>
      <c r="I41" s="458">
        <f t="shared" si="20"/>
        <v>7</v>
      </c>
      <c r="J41" s="458">
        <f t="shared" si="20"/>
        <v>0</v>
      </c>
      <c r="K41" s="494">
        <f>SUM(K39:K40)</f>
        <v>2614</v>
      </c>
      <c r="L41" s="384">
        <f t="shared" ref="L41:Q41" si="21">+L39+L40</f>
        <v>322</v>
      </c>
      <c r="M41" s="384">
        <f t="shared" si="21"/>
        <v>205</v>
      </c>
      <c r="N41" s="384">
        <f t="shared" si="21"/>
        <v>666</v>
      </c>
      <c r="O41" s="384">
        <f t="shared" si="21"/>
        <v>0</v>
      </c>
      <c r="P41" s="384">
        <f t="shared" si="21"/>
        <v>7</v>
      </c>
      <c r="Q41" s="384">
        <f t="shared" si="21"/>
        <v>0</v>
      </c>
      <c r="R41" s="93">
        <f t="shared" ref="R41:AF41" si="22">SUM(R39:R40)</f>
        <v>1200</v>
      </c>
      <c r="S41" s="33">
        <f t="shared" si="22"/>
        <v>354</v>
      </c>
      <c r="T41" s="33">
        <f t="shared" si="22"/>
        <v>172</v>
      </c>
      <c r="U41" s="33">
        <f t="shared" si="22"/>
        <v>335</v>
      </c>
      <c r="V41" s="33">
        <f t="shared" si="22"/>
        <v>78</v>
      </c>
      <c r="W41" s="33">
        <f t="shared" si="22"/>
        <v>0</v>
      </c>
      <c r="X41" s="33">
        <f t="shared" si="22"/>
        <v>0</v>
      </c>
      <c r="Y41" s="93">
        <f t="shared" si="22"/>
        <v>939</v>
      </c>
      <c r="Z41" s="33">
        <f t="shared" si="22"/>
        <v>327</v>
      </c>
      <c r="AA41" s="33">
        <f t="shared" si="22"/>
        <v>155</v>
      </c>
      <c r="AB41" s="33">
        <f t="shared" si="22"/>
        <v>102</v>
      </c>
      <c r="AC41" s="33">
        <f t="shared" si="22"/>
        <v>0</v>
      </c>
      <c r="AD41" s="33">
        <f t="shared" si="22"/>
        <v>0</v>
      </c>
      <c r="AE41" s="33">
        <f t="shared" si="22"/>
        <v>0</v>
      </c>
      <c r="AF41" s="93">
        <f t="shared" si="22"/>
        <v>584</v>
      </c>
    </row>
    <row r="42" spans="2:32" ht="15.75" customHeight="1" thickBot="1">
      <c r="B42" s="285"/>
      <c r="C42" s="285"/>
      <c r="D42" s="468"/>
      <c r="E42" s="468"/>
      <c r="F42" s="468"/>
      <c r="G42" s="468"/>
      <c r="H42" s="468"/>
      <c r="I42" s="468"/>
      <c r="J42" s="468"/>
      <c r="K42" s="464"/>
      <c r="L42" s="468"/>
      <c r="M42" s="468"/>
      <c r="N42" s="468"/>
      <c r="O42" s="468"/>
      <c r="P42" s="468"/>
      <c r="Q42" s="468"/>
      <c r="R42" s="464"/>
      <c r="S42" s="464"/>
      <c r="T42" s="464"/>
      <c r="U42" s="464"/>
      <c r="V42" s="464"/>
      <c r="W42" s="464"/>
      <c r="X42" s="464"/>
      <c r="Y42" s="464"/>
      <c r="Z42" s="464"/>
      <c r="AA42" s="464"/>
      <c r="AB42" s="464"/>
      <c r="AC42" s="464"/>
      <c r="AD42" s="464"/>
      <c r="AE42" s="464"/>
      <c r="AF42" s="464"/>
    </row>
    <row r="43" spans="2:32" ht="15.75" customHeight="1">
      <c r="B43" s="7" t="s">
        <v>100</v>
      </c>
      <c r="C43" s="8"/>
      <c r="D43" s="441"/>
      <c r="E43" s="441"/>
      <c r="F43" s="441"/>
      <c r="G43" s="441"/>
      <c r="H43" s="441"/>
      <c r="I43" s="441"/>
      <c r="J43" s="441"/>
      <c r="K43" s="58"/>
      <c r="L43" s="441"/>
      <c r="M43" s="441"/>
      <c r="N43" s="441"/>
      <c r="O43" s="441"/>
      <c r="P43" s="441"/>
      <c r="Q43" s="441"/>
      <c r="R43" s="58"/>
      <c r="S43" s="58"/>
      <c r="T43" s="58"/>
      <c r="U43" s="58"/>
      <c r="V43" s="58"/>
      <c r="W43" s="58"/>
      <c r="X43" s="58"/>
      <c r="Y43" s="58"/>
      <c r="Z43" s="58"/>
      <c r="AA43" s="58"/>
      <c r="AB43" s="58"/>
      <c r="AC43" s="58"/>
      <c r="AD43" s="58"/>
      <c r="AE43" s="58"/>
      <c r="AF43" s="58"/>
    </row>
    <row r="44" spans="2:32" ht="15.75" customHeight="1">
      <c r="B44" s="9"/>
      <c r="C44" s="10" t="s">
        <v>101</v>
      </c>
      <c r="D44" s="384">
        <f>124+2</f>
        <v>126</v>
      </c>
      <c r="E44" s="384">
        <v>93</v>
      </c>
      <c r="F44" s="384">
        <f>160+8</f>
        <v>168</v>
      </c>
      <c r="G44" s="384">
        <v>519</v>
      </c>
      <c r="H44" s="384">
        <v>24</v>
      </c>
      <c r="I44" s="384">
        <f>+I15</f>
        <v>48</v>
      </c>
      <c r="J44" s="384">
        <f>+J15</f>
        <v>7</v>
      </c>
      <c r="K44" s="494">
        <f t="shared" ref="K44:K50" si="23">SUM(D44:J44)</f>
        <v>985</v>
      </c>
      <c r="L44" s="384">
        <f>120+2</f>
        <v>122</v>
      </c>
      <c r="M44" s="384">
        <v>89</v>
      </c>
      <c r="N44" s="384">
        <f>131+8</f>
        <v>139</v>
      </c>
      <c r="O44" s="384">
        <v>21</v>
      </c>
      <c r="P44" s="384">
        <f>42+6</f>
        <v>48</v>
      </c>
      <c r="Q44" s="384">
        <f>Q15</f>
        <v>8</v>
      </c>
      <c r="R44" s="93">
        <f>SUM(L44:Q44)</f>
        <v>427</v>
      </c>
      <c r="S44" s="33">
        <f>117+2</f>
        <v>119</v>
      </c>
      <c r="T44" s="33">
        <v>92</v>
      </c>
      <c r="U44" s="33">
        <f>59+11</f>
        <v>70</v>
      </c>
      <c r="V44" s="33">
        <f>47+4</f>
        <v>51</v>
      </c>
      <c r="W44" s="33">
        <f>22+1</f>
        <v>23</v>
      </c>
      <c r="X44" s="33">
        <v>9</v>
      </c>
      <c r="Y44" s="93">
        <f>SUM(S44:X44)</f>
        <v>364</v>
      </c>
      <c r="Z44" s="33">
        <v>124</v>
      </c>
      <c r="AA44" s="33">
        <v>89</v>
      </c>
      <c r="AB44" s="33">
        <v>44</v>
      </c>
      <c r="AC44" s="33">
        <v>50</v>
      </c>
      <c r="AD44" s="33">
        <f>18+5</f>
        <v>23</v>
      </c>
      <c r="AE44" s="33">
        <f>AE15</f>
        <v>18</v>
      </c>
      <c r="AF44" s="93">
        <f>SUM(Z44:AE44)</f>
        <v>348</v>
      </c>
    </row>
    <row r="45" spans="2:32" ht="15.75" customHeight="1">
      <c r="B45" s="9"/>
      <c r="C45" s="10" t="s">
        <v>102</v>
      </c>
      <c r="D45" s="384">
        <v>36</v>
      </c>
      <c r="E45" s="384">
        <v>23</v>
      </c>
      <c r="F45" s="384">
        <v>42</v>
      </c>
      <c r="G45" s="384">
        <v>38</v>
      </c>
      <c r="H45" s="384">
        <v>15</v>
      </c>
      <c r="I45" s="384">
        <f>+I16</f>
        <v>36</v>
      </c>
      <c r="J45" s="384">
        <f>+J16</f>
        <v>13</v>
      </c>
      <c r="K45" s="494">
        <f t="shared" si="23"/>
        <v>203</v>
      </c>
      <c r="L45" s="384">
        <v>34</v>
      </c>
      <c r="M45" s="384">
        <v>22</v>
      </c>
      <c r="N45" s="384">
        <v>24</v>
      </c>
      <c r="O45" s="384">
        <v>7</v>
      </c>
      <c r="P45" s="384">
        <v>34</v>
      </c>
      <c r="Q45" s="384">
        <f>Q16</f>
        <v>11</v>
      </c>
      <c r="R45" s="93">
        <f>SUM(L45:Q45)</f>
        <v>132</v>
      </c>
      <c r="S45" s="33">
        <v>35</v>
      </c>
      <c r="T45" s="33">
        <v>21</v>
      </c>
      <c r="U45" s="33">
        <v>15</v>
      </c>
      <c r="V45" s="33">
        <v>32</v>
      </c>
      <c r="W45" s="33">
        <v>7</v>
      </c>
      <c r="X45" s="33">
        <v>10</v>
      </c>
      <c r="Y45" s="93">
        <f>SUM(S45:X45)</f>
        <v>120</v>
      </c>
      <c r="Z45" s="33">
        <v>32</v>
      </c>
      <c r="AA45" s="33">
        <v>23</v>
      </c>
      <c r="AB45" s="33">
        <v>10</v>
      </c>
      <c r="AC45" s="33">
        <v>32</v>
      </c>
      <c r="AD45" s="33">
        <f>6+1</f>
        <v>7</v>
      </c>
      <c r="AE45" s="33">
        <f>AE16</f>
        <v>7</v>
      </c>
      <c r="AF45" s="93">
        <f>SUM(Z45:AE45)</f>
        <v>111</v>
      </c>
    </row>
    <row r="46" spans="2:32" ht="15.75" customHeight="1">
      <c r="B46" s="13"/>
      <c r="C46" s="14" t="s">
        <v>103</v>
      </c>
      <c r="D46" s="343">
        <f>SUM(D44:D45)</f>
        <v>162</v>
      </c>
      <c r="E46" s="343">
        <f t="shared" ref="E46:J46" si="24">SUM(E44:E45)</f>
        <v>116</v>
      </c>
      <c r="F46" s="343">
        <f>SUM(F44:F45)</f>
        <v>210</v>
      </c>
      <c r="G46" s="343">
        <f>SUM(G44:G45)</f>
        <v>557</v>
      </c>
      <c r="H46" s="343">
        <f t="shared" si="24"/>
        <v>39</v>
      </c>
      <c r="I46" s="343">
        <f t="shared" si="24"/>
        <v>84</v>
      </c>
      <c r="J46" s="343">
        <f t="shared" si="24"/>
        <v>20</v>
      </c>
      <c r="K46" s="522">
        <f t="shared" si="23"/>
        <v>1188</v>
      </c>
      <c r="L46" s="343">
        <f t="shared" ref="L46:AF46" si="25">SUM(L44:L45)</f>
        <v>156</v>
      </c>
      <c r="M46" s="343">
        <f t="shared" si="25"/>
        <v>111</v>
      </c>
      <c r="N46" s="343">
        <f t="shared" si="25"/>
        <v>163</v>
      </c>
      <c r="O46" s="343">
        <f t="shared" si="25"/>
        <v>28</v>
      </c>
      <c r="P46" s="343">
        <f t="shared" si="25"/>
        <v>82</v>
      </c>
      <c r="Q46" s="343">
        <f t="shared" si="25"/>
        <v>19</v>
      </c>
      <c r="R46" s="460">
        <f t="shared" si="25"/>
        <v>559</v>
      </c>
      <c r="S46" s="54">
        <f t="shared" si="25"/>
        <v>154</v>
      </c>
      <c r="T46" s="54">
        <f t="shared" si="25"/>
        <v>113</v>
      </c>
      <c r="U46" s="54">
        <f t="shared" si="25"/>
        <v>85</v>
      </c>
      <c r="V46" s="54">
        <f t="shared" si="25"/>
        <v>83</v>
      </c>
      <c r="W46" s="54">
        <f t="shared" si="25"/>
        <v>30</v>
      </c>
      <c r="X46" s="54">
        <f t="shared" si="25"/>
        <v>19</v>
      </c>
      <c r="Y46" s="460">
        <f t="shared" si="25"/>
        <v>484</v>
      </c>
      <c r="Z46" s="54">
        <f t="shared" si="25"/>
        <v>156</v>
      </c>
      <c r="AA46" s="54">
        <f t="shared" si="25"/>
        <v>112</v>
      </c>
      <c r="AB46" s="54">
        <f t="shared" si="25"/>
        <v>54</v>
      </c>
      <c r="AC46" s="54">
        <f t="shared" si="25"/>
        <v>82</v>
      </c>
      <c r="AD46" s="54">
        <f t="shared" si="25"/>
        <v>30</v>
      </c>
      <c r="AE46" s="54">
        <f t="shared" si="25"/>
        <v>25</v>
      </c>
      <c r="AF46" s="460">
        <f t="shared" si="25"/>
        <v>459</v>
      </c>
    </row>
    <row r="47" spans="2:32" ht="15.75" customHeight="1">
      <c r="B47" s="10"/>
      <c r="C47" s="10" t="s">
        <v>104</v>
      </c>
      <c r="D47" s="384">
        <v>44</v>
      </c>
      <c r="E47" s="384">
        <v>14</v>
      </c>
      <c r="F47" s="384">
        <v>8</v>
      </c>
      <c r="G47" s="384">
        <v>65</v>
      </c>
      <c r="H47" s="384">
        <f>1+1</f>
        <v>2</v>
      </c>
      <c r="I47" s="384">
        <f>45</f>
        <v>45</v>
      </c>
      <c r="J47" s="384">
        <v>19</v>
      </c>
      <c r="K47" s="494">
        <f t="shared" si="23"/>
        <v>197</v>
      </c>
      <c r="L47" s="384">
        <v>43</v>
      </c>
      <c r="M47" s="384">
        <v>13</v>
      </c>
      <c r="N47" s="384">
        <v>7</v>
      </c>
      <c r="O47" s="384">
        <v>1</v>
      </c>
      <c r="P47" s="384">
        <v>0</v>
      </c>
      <c r="Q47" s="384">
        <v>18</v>
      </c>
      <c r="R47" s="93">
        <f>SUM(L47:Q47)</f>
        <v>82</v>
      </c>
      <c r="S47" s="33">
        <v>27</v>
      </c>
      <c r="T47" s="33">
        <v>64</v>
      </c>
      <c r="U47" s="33">
        <v>1</v>
      </c>
      <c r="V47" s="33">
        <v>34</v>
      </c>
      <c r="W47" s="33">
        <v>11</v>
      </c>
      <c r="X47" s="33">
        <v>18</v>
      </c>
      <c r="Y47" s="93">
        <f>SUM(S47:X47)</f>
        <v>155</v>
      </c>
      <c r="Z47" s="33">
        <v>27</v>
      </c>
      <c r="AA47" s="33">
        <v>64</v>
      </c>
      <c r="AB47" s="33">
        <v>0</v>
      </c>
      <c r="AC47" s="33">
        <v>29</v>
      </c>
      <c r="AD47" s="33">
        <v>7</v>
      </c>
      <c r="AE47" s="33">
        <v>18</v>
      </c>
      <c r="AF47" s="93">
        <f>SUM(Z47:AE47)</f>
        <v>145</v>
      </c>
    </row>
    <row r="48" spans="2:32" ht="15.75" customHeight="1">
      <c r="B48" s="9"/>
      <c r="C48" s="10" t="s">
        <v>105</v>
      </c>
      <c r="D48" s="384">
        <v>53</v>
      </c>
      <c r="E48" s="384">
        <v>81</v>
      </c>
      <c r="F48" s="384">
        <v>8</v>
      </c>
      <c r="G48" s="384">
        <v>85</v>
      </c>
      <c r="H48" s="384">
        <v>18</v>
      </c>
      <c r="I48" s="384">
        <v>11</v>
      </c>
      <c r="J48" s="384">
        <v>0</v>
      </c>
      <c r="K48" s="494">
        <f t="shared" si="23"/>
        <v>256</v>
      </c>
      <c r="L48" s="384">
        <v>48</v>
      </c>
      <c r="M48" s="384">
        <v>77</v>
      </c>
      <c r="N48" s="384">
        <v>7</v>
      </c>
      <c r="O48" s="384">
        <v>20</v>
      </c>
      <c r="P48" s="384">
        <v>39</v>
      </c>
      <c r="Q48" s="384">
        <v>0</v>
      </c>
      <c r="R48" s="93">
        <f>SUM(L48:Q48)</f>
        <v>191</v>
      </c>
      <c r="S48" s="33">
        <v>54</v>
      </c>
      <c r="T48" s="33">
        <v>13</v>
      </c>
      <c r="U48" s="33">
        <v>10</v>
      </c>
      <c r="V48" s="33">
        <v>10</v>
      </c>
      <c r="W48" s="33">
        <v>2</v>
      </c>
      <c r="X48" s="33">
        <v>0</v>
      </c>
      <c r="Y48" s="93">
        <f>SUM(S48:X48)</f>
        <v>89</v>
      </c>
      <c r="Z48" s="33">
        <v>50</v>
      </c>
      <c r="AA48" s="33">
        <v>11</v>
      </c>
      <c r="AB48" s="33">
        <v>6</v>
      </c>
      <c r="AC48" s="33">
        <v>10</v>
      </c>
      <c r="AD48" s="33">
        <f>2+4</f>
        <v>6</v>
      </c>
      <c r="AE48" s="33">
        <v>0</v>
      </c>
      <c r="AF48" s="93">
        <f>SUM(Z48:AE48)</f>
        <v>83</v>
      </c>
    </row>
    <row r="49" spans="2:32" ht="15.75" customHeight="1">
      <c r="B49" s="9"/>
      <c r="C49" s="10" t="s">
        <v>106</v>
      </c>
      <c r="D49" s="384">
        <v>63</v>
      </c>
      <c r="E49" s="384">
        <v>21</v>
      </c>
      <c r="F49" s="384">
        <v>186</v>
      </c>
      <c r="G49" s="384">
        <v>407</v>
      </c>
      <c r="H49" s="384">
        <v>15</v>
      </c>
      <c r="I49" s="384">
        <v>26</v>
      </c>
      <c r="J49" s="384">
        <v>0</v>
      </c>
      <c r="K49" s="494">
        <f t="shared" si="23"/>
        <v>718</v>
      </c>
      <c r="L49" s="384">
        <v>63</v>
      </c>
      <c r="M49" s="384">
        <v>20</v>
      </c>
      <c r="N49" s="384">
        <v>141</v>
      </c>
      <c r="O49" s="384">
        <v>7</v>
      </c>
      <c r="P49" s="384">
        <v>37</v>
      </c>
      <c r="Q49" s="384">
        <v>0</v>
      </c>
      <c r="R49" s="93">
        <f>SUM(L49:Q49)</f>
        <v>268</v>
      </c>
      <c r="S49" s="33">
        <v>71</v>
      </c>
      <c r="T49" s="33">
        <v>36</v>
      </c>
      <c r="U49" s="33">
        <v>63</v>
      </c>
      <c r="V49" s="33">
        <v>35</v>
      </c>
      <c r="W49" s="33">
        <v>16</v>
      </c>
      <c r="X49" s="33">
        <v>0</v>
      </c>
      <c r="Y49" s="93">
        <f>SUM(S49:X49)</f>
        <v>221</v>
      </c>
      <c r="Z49" s="33">
        <v>79</v>
      </c>
      <c r="AA49" s="33">
        <v>37</v>
      </c>
      <c r="AB49" s="33">
        <v>40</v>
      </c>
      <c r="AC49" s="33">
        <v>37</v>
      </c>
      <c r="AD49" s="33">
        <f>15+2</f>
        <v>17</v>
      </c>
      <c r="AE49" s="33">
        <v>0</v>
      </c>
      <c r="AF49" s="93">
        <f>SUM(Z49:AE49)</f>
        <v>210</v>
      </c>
    </row>
    <row r="50" spans="2:32" ht="15.75" customHeight="1">
      <c r="B50" s="9"/>
      <c r="C50" s="10" t="s">
        <v>107</v>
      </c>
      <c r="D50" s="384">
        <v>2</v>
      </c>
      <c r="E50" s="384">
        <v>0</v>
      </c>
      <c r="F50" s="384">
        <v>8</v>
      </c>
      <c r="G50" s="384">
        <v>0</v>
      </c>
      <c r="H50" s="384">
        <v>0</v>
      </c>
      <c r="I50" s="384">
        <v>2</v>
      </c>
      <c r="J50" s="384">
        <v>1</v>
      </c>
      <c r="K50" s="494">
        <f t="shared" si="23"/>
        <v>13</v>
      </c>
      <c r="L50" s="384">
        <v>2</v>
      </c>
      <c r="M50" s="384">
        <v>1</v>
      </c>
      <c r="N50" s="384">
        <v>8</v>
      </c>
      <c r="O50" s="384">
        <v>0</v>
      </c>
      <c r="P50" s="384">
        <v>6</v>
      </c>
      <c r="Q50" s="384">
        <v>1</v>
      </c>
      <c r="R50" s="93">
        <f>SUM(L50:Q50)</f>
        <v>18</v>
      </c>
      <c r="S50" s="70">
        <v>2</v>
      </c>
      <c r="T50" s="70">
        <v>0</v>
      </c>
      <c r="U50" s="70">
        <v>11</v>
      </c>
      <c r="V50" s="70">
        <v>4</v>
      </c>
      <c r="W50" s="70">
        <v>1</v>
      </c>
      <c r="X50" s="33">
        <v>1</v>
      </c>
      <c r="Y50" s="93">
        <f>SUM(S50:X50)</f>
        <v>19</v>
      </c>
      <c r="Z50" s="33">
        <v>0</v>
      </c>
      <c r="AA50" s="33">
        <v>0</v>
      </c>
      <c r="AB50" s="33">
        <v>8</v>
      </c>
      <c r="AC50" s="33">
        <v>6</v>
      </c>
      <c r="AD50" s="33">
        <v>0</v>
      </c>
      <c r="AE50" s="33">
        <v>7</v>
      </c>
      <c r="AF50" s="93">
        <f>SUM(Z50:AE50)</f>
        <v>21</v>
      </c>
    </row>
    <row r="51" spans="2:32" ht="15.75" customHeight="1" thickBot="1">
      <c r="B51" s="285"/>
      <c r="C51" s="286"/>
      <c r="D51" s="306"/>
      <c r="E51" s="306"/>
      <c r="F51" s="306"/>
      <c r="G51" s="306"/>
      <c r="H51" s="306"/>
      <c r="I51" s="306"/>
      <c r="J51" s="306"/>
      <c r="K51" s="313"/>
      <c r="L51" s="306"/>
      <c r="M51" s="306"/>
      <c r="N51" s="306"/>
      <c r="O51" s="306"/>
      <c r="P51" s="306"/>
      <c r="Q51" s="306"/>
      <c r="R51" s="313"/>
      <c r="S51" s="313"/>
      <c r="T51" s="313"/>
      <c r="U51" s="313"/>
      <c r="V51" s="313"/>
      <c r="W51" s="313"/>
      <c r="X51" s="313"/>
      <c r="Y51" s="313"/>
      <c r="Z51" s="468"/>
      <c r="AA51" s="468"/>
      <c r="AB51" s="468"/>
      <c r="AC51" s="468"/>
      <c r="AD51" s="468"/>
      <c r="AE51" s="313"/>
      <c r="AF51" s="313"/>
    </row>
    <row r="52" spans="2:32" ht="15.75" customHeight="1">
      <c r="B52" s="7" t="s">
        <v>108</v>
      </c>
      <c r="C52" s="8"/>
      <c r="D52" s="441"/>
      <c r="E52" s="441"/>
      <c r="F52" s="441"/>
      <c r="G52" s="441"/>
      <c r="H52" s="441"/>
      <c r="I52" s="441"/>
      <c r="J52" s="441"/>
      <c r="K52" s="59"/>
      <c r="L52" s="441"/>
      <c r="M52" s="441"/>
      <c r="N52" s="441"/>
      <c r="O52" s="441"/>
      <c r="P52" s="441"/>
      <c r="Q52" s="441"/>
      <c r="R52" s="59"/>
      <c r="S52" s="59"/>
      <c r="T52" s="59"/>
      <c r="U52" s="59"/>
      <c r="V52" s="59"/>
      <c r="W52" s="59"/>
      <c r="X52" s="59"/>
      <c r="Y52" s="59"/>
      <c r="Z52" s="59"/>
      <c r="AA52" s="59"/>
      <c r="AB52" s="59"/>
      <c r="AC52" s="59"/>
      <c r="AD52" s="59"/>
      <c r="AE52" s="59"/>
      <c r="AF52" s="59"/>
    </row>
    <row r="53" spans="2:32" ht="15.75" customHeight="1">
      <c r="B53" s="9"/>
      <c r="C53" s="10" t="s">
        <v>109</v>
      </c>
      <c r="D53" s="384">
        <v>371</v>
      </c>
      <c r="E53" s="458">
        <v>373</v>
      </c>
      <c r="F53" s="384">
        <v>232</v>
      </c>
      <c r="G53" s="384">
        <v>97</v>
      </c>
      <c r="H53" s="384">
        <v>46</v>
      </c>
      <c r="I53" s="384">
        <v>0</v>
      </c>
      <c r="J53" s="384">
        <v>0</v>
      </c>
      <c r="K53" s="494">
        <f t="shared" ref="K53:K59" si="26">SUM(D53:J53)</f>
        <v>1119</v>
      </c>
      <c r="L53" s="384">
        <v>345</v>
      </c>
      <c r="M53" s="384">
        <v>372</v>
      </c>
      <c r="N53" s="384">
        <v>114</v>
      </c>
      <c r="O53" s="384">
        <v>46</v>
      </c>
      <c r="P53" s="384">
        <v>0</v>
      </c>
      <c r="Q53" s="384">
        <v>0</v>
      </c>
      <c r="R53" s="93">
        <f>SUM(L53:Q53)</f>
        <v>877</v>
      </c>
      <c r="S53" s="33">
        <v>352</v>
      </c>
      <c r="T53" s="33">
        <v>374</v>
      </c>
      <c r="U53" s="33">
        <v>35</v>
      </c>
      <c r="V53" s="33">
        <v>0</v>
      </c>
      <c r="W53" s="33">
        <v>44</v>
      </c>
      <c r="X53" s="33">
        <v>0</v>
      </c>
      <c r="Y53" s="93">
        <f>SUM(S53:X53)</f>
        <v>805</v>
      </c>
      <c r="Z53" s="33">
        <v>327</v>
      </c>
      <c r="AA53" s="33">
        <v>377</v>
      </c>
      <c r="AB53" s="33">
        <v>8</v>
      </c>
      <c r="AC53" s="33">
        <v>0</v>
      </c>
      <c r="AD53" s="33">
        <f>19+17</f>
        <v>36</v>
      </c>
      <c r="AE53" s="33">
        <v>0</v>
      </c>
      <c r="AF53" s="93">
        <f>SUM(Z53:AE53)</f>
        <v>748</v>
      </c>
    </row>
    <row r="54" spans="2:32" ht="15.75" customHeight="1">
      <c r="B54" s="9"/>
      <c r="C54" s="10" t="s">
        <v>110</v>
      </c>
      <c r="D54" s="384">
        <v>62</v>
      </c>
      <c r="E54" s="384">
        <v>20</v>
      </c>
      <c r="F54" s="384">
        <v>28</v>
      </c>
      <c r="G54" s="384">
        <v>2</v>
      </c>
      <c r="H54" s="384">
        <v>10</v>
      </c>
      <c r="I54" s="384">
        <v>0</v>
      </c>
      <c r="J54" s="384">
        <v>0</v>
      </c>
      <c r="K54" s="494">
        <f t="shared" si="26"/>
        <v>122</v>
      </c>
      <c r="L54" s="384">
        <v>57</v>
      </c>
      <c r="M54" s="384">
        <v>18</v>
      </c>
      <c r="N54" s="384">
        <v>22</v>
      </c>
      <c r="O54" s="384">
        <v>9</v>
      </c>
      <c r="P54" s="384">
        <v>0</v>
      </c>
      <c r="Q54" s="384">
        <v>0</v>
      </c>
      <c r="R54" s="93">
        <f>SUM(L54:Q54)</f>
        <v>106</v>
      </c>
      <c r="S54" s="33">
        <v>56</v>
      </c>
      <c r="T54" s="33">
        <v>17</v>
      </c>
      <c r="U54" s="33">
        <v>6</v>
      </c>
      <c r="V54" s="33">
        <v>0</v>
      </c>
      <c r="W54" s="33">
        <f>2+5</f>
        <v>7</v>
      </c>
      <c r="X54" s="33">
        <v>0</v>
      </c>
      <c r="Y54" s="93">
        <f>SUM(S54:X54)</f>
        <v>86</v>
      </c>
      <c r="Z54" s="33">
        <v>54</v>
      </c>
      <c r="AA54" s="33">
        <v>14</v>
      </c>
      <c r="AB54" s="33">
        <v>7</v>
      </c>
      <c r="AC54" s="33">
        <v>0</v>
      </c>
      <c r="AD54" s="33">
        <f>3+4</f>
        <v>7</v>
      </c>
      <c r="AE54" s="33">
        <v>0</v>
      </c>
      <c r="AF54" s="93">
        <f>SUM(Z54:AE54)</f>
        <v>82</v>
      </c>
    </row>
    <row r="55" spans="2:32" ht="15.75" customHeight="1">
      <c r="B55" s="13"/>
      <c r="C55" s="14" t="s">
        <v>111</v>
      </c>
      <c r="D55" s="343">
        <f>SUM(D53:D54)</f>
        <v>433</v>
      </c>
      <c r="E55" s="343">
        <f t="shared" ref="E55:J55" si="27">SUM(E53:E54)</f>
        <v>393</v>
      </c>
      <c r="F55" s="343">
        <f>SUM(F53:F54)</f>
        <v>260</v>
      </c>
      <c r="G55" s="343">
        <f>SUM(G53:G54)</f>
        <v>99</v>
      </c>
      <c r="H55" s="343">
        <f t="shared" si="27"/>
        <v>56</v>
      </c>
      <c r="I55" s="343">
        <f t="shared" si="27"/>
        <v>0</v>
      </c>
      <c r="J55" s="343">
        <f t="shared" si="27"/>
        <v>0</v>
      </c>
      <c r="K55" s="522">
        <f t="shared" si="26"/>
        <v>1241</v>
      </c>
      <c r="L55" s="343">
        <f t="shared" ref="L55:AF55" si="28">SUM(L53:L54)</f>
        <v>402</v>
      </c>
      <c r="M55" s="343">
        <f t="shared" si="28"/>
        <v>390</v>
      </c>
      <c r="N55" s="343">
        <f t="shared" si="28"/>
        <v>136</v>
      </c>
      <c r="O55" s="343">
        <f t="shared" si="28"/>
        <v>55</v>
      </c>
      <c r="P55" s="343">
        <f t="shared" si="28"/>
        <v>0</v>
      </c>
      <c r="Q55" s="343">
        <f t="shared" si="28"/>
        <v>0</v>
      </c>
      <c r="R55" s="460">
        <f t="shared" si="28"/>
        <v>983</v>
      </c>
      <c r="S55" s="54">
        <f t="shared" si="28"/>
        <v>408</v>
      </c>
      <c r="T55" s="54">
        <f t="shared" si="28"/>
        <v>391</v>
      </c>
      <c r="U55" s="54">
        <f t="shared" si="28"/>
        <v>41</v>
      </c>
      <c r="V55" s="54">
        <f t="shared" si="28"/>
        <v>0</v>
      </c>
      <c r="W55" s="54">
        <f t="shared" si="28"/>
        <v>51</v>
      </c>
      <c r="X55" s="54">
        <f t="shared" si="28"/>
        <v>0</v>
      </c>
      <c r="Y55" s="460">
        <f t="shared" si="28"/>
        <v>891</v>
      </c>
      <c r="Z55" s="54">
        <f t="shared" si="28"/>
        <v>381</v>
      </c>
      <c r="AA55" s="54">
        <f t="shared" si="28"/>
        <v>391</v>
      </c>
      <c r="AB55" s="54">
        <f t="shared" si="28"/>
        <v>15</v>
      </c>
      <c r="AC55" s="54">
        <f t="shared" si="28"/>
        <v>0</v>
      </c>
      <c r="AD55" s="54">
        <f t="shared" si="28"/>
        <v>43</v>
      </c>
      <c r="AE55" s="54">
        <f t="shared" si="28"/>
        <v>0</v>
      </c>
      <c r="AF55" s="460">
        <f t="shared" si="28"/>
        <v>830</v>
      </c>
    </row>
    <row r="56" spans="2:32" ht="15.75" customHeight="1">
      <c r="B56" s="10"/>
      <c r="C56" s="10" t="s">
        <v>104</v>
      </c>
      <c r="D56" s="384">
        <v>284</v>
      </c>
      <c r="E56" s="384">
        <v>228</v>
      </c>
      <c r="F56" s="384">
        <v>50</v>
      </c>
      <c r="G56" s="384">
        <v>9</v>
      </c>
      <c r="H56" s="384">
        <v>27</v>
      </c>
      <c r="I56" s="384">
        <v>0</v>
      </c>
      <c r="J56" s="384">
        <v>0</v>
      </c>
      <c r="K56" s="494">
        <f t="shared" si="26"/>
        <v>598</v>
      </c>
      <c r="L56" s="384">
        <v>272</v>
      </c>
      <c r="M56" s="384">
        <v>227</v>
      </c>
      <c r="N56" s="384">
        <v>39</v>
      </c>
      <c r="O56" s="384">
        <v>25</v>
      </c>
      <c r="P56" s="384">
        <v>0</v>
      </c>
      <c r="Q56" s="384">
        <v>0</v>
      </c>
      <c r="R56" s="93">
        <f>SUM(L56:Q56)</f>
        <v>563</v>
      </c>
      <c r="S56" s="33">
        <v>260</v>
      </c>
      <c r="T56" s="33">
        <v>291</v>
      </c>
      <c r="U56" s="33">
        <v>7</v>
      </c>
      <c r="V56" s="33">
        <v>0</v>
      </c>
      <c r="W56" s="33">
        <v>6</v>
      </c>
      <c r="X56" s="33">
        <v>0</v>
      </c>
      <c r="Y56" s="93">
        <f>SUM(S56:X56)</f>
        <v>564</v>
      </c>
      <c r="Z56" s="33">
        <v>240</v>
      </c>
      <c r="AA56" s="33">
        <v>293</v>
      </c>
      <c r="AB56" s="33">
        <v>10</v>
      </c>
      <c r="AC56" s="33">
        <v>0</v>
      </c>
      <c r="AD56" s="33">
        <f>0+7</f>
        <v>7</v>
      </c>
      <c r="AE56" s="33">
        <v>0</v>
      </c>
      <c r="AF56" s="93">
        <f>SUM(Z56:AE56)</f>
        <v>550</v>
      </c>
    </row>
    <row r="57" spans="2:32" ht="15.75" customHeight="1">
      <c r="B57" s="9"/>
      <c r="C57" s="10" t="s">
        <v>105</v>
      </c>
      <c r="D57" s="384">
        <v>108</v>
      </c>
      <c r="E57" s="384">
        <v>161</v>
      </c>
      <c r="F57" s="384">
        <v>1</v>
      </c>
      <c r="G57" s="384">
        <v>42</v>
      </c>
      <c r="H57" s="384">
        <v>22</v>
      </c>
      <c r="I57" s="384">
        <v>0</v>
      </c>
      <c r="J57" s="384">
        <v>0</v>
      </c>
      <c r="K57" s="494">
        <f t="shared" si="26"/>
        <v>334</v>
      </c>
      <c r="L57" s="384">
        <v>96</v>
      </c>
      <c r="M57" s="384">
        <v>161</v>
      </c>
      <c r="N57" s="384">
        <v>2</v>
      </c>
      <c r="O57" s="384">
        <v>26</v>
      </c>
      <c r="P57" s="384">
        <v>0</v>
      </c>
      <c r="Q57" s="384">
        <v>0</v>
      </c>
      <c r="R57" s="93">
        <f>SUM(L57:Q57)</f>
        <v>285</v>
      </c>
      <c r="S57" s="33">
        <v>107</v>
      </c>
      <c r="T57" s="33">
        <v>53</v>
      </c>
      <c r="U57" s="33">
        <v>1</v>
      </c>
      <c r="V57" s="33">
        <v>0</v>
      </c>
      <c r="W57" s="33">
        <v>14</v>
      </c>
      <c r="X57" s="33">
        <v>0</v>
      </c>
      <c r="Y57" s="93">
        <f>SUM(S57:X57)</f>
        <v>175</v>
      </c>
      <c r="Z57" s="33">
        <v>106</v>
      </c>
      <c r="AA57" s="33">
        <v>52</v>
      </c>
      <c r="AB57" s="33">
        <v>1</v>
      </c>
      <c r="AC57" s="33">
        <v>0</v>
      </c>
      <c r="AD57" s="33">
        <f>3+5</f>
        <v>8</v>
      </c>
      <c r="AE57" s="33">
        <v>0</v>
      </c>
      <c r="AF57" s="93">
        <f>SUM(Z57:AE57)</f>
        <v>167</v>
      </c>
    </row>
    <row r="58" spans="2:32" ht="15.75" customHeight="1">
      <c r="B58" s="9"/>
      <c r="C58" s="10" t="s">
        <v>106</v>
      </c>
      <c r="D58" s="384">
        <v>41</v>
      </c>
      <c r="E58" s="384">
        <v>4</v>
      </c>
      <c r="F58" s="384">
        <v>209</v>
      </c>
      <c r="G58" s="384">
        <v>48</v>
      </c>
      <c r="H58" s="384">
        <v>7</v>
      </c>
      <c r="I58" s="384">
        <v>0</v>
      </c>
      <c r="J58" s="384">
        <v>0</v>
      </c>
      <c r="K58" s="494">
        <f t="shared" si="26"/>
        <v>309</v>
      </c>
      <c r="L58" s="384">
        <v>34</v>
      </c>
      <c r="M58" s="384">
        <v>2</v>
      </c>
      <c r="N58" s="384">
        <v>95</v>
      </c>
      <c r="O58" s="384">
        <v>4</v>
      </c>
      <c r="P58" s="384">
        <v>0</v>
      </c>
      <c r="Q58" s="384">
        <v>0</v>
      </c>
      <c r="R58" s="93">
        <f>SUM(L58:Q58)</f>
        <v>135</v>
      </c>
      <c r="S58" s="33">
        <v>41</v>
      </c>
      <c r="T58" s="33">
        <v>47</v>
      </c>
      <c r="U58" s="33">
        <v>33</v>
      </c>
      <c r="V58" s="33">
        <v>0</v>
      </c>
      <c r="W58" s="33">
        <v>31</v>
      </c>
      <c r="X58" s="33">
        <v>0</v>
      </c>
      <c r="Y58" s="93">
        <f>SUM(S58:X58)</f>
        <v>152</v>
      </c>
      <c r="Z58" s="33">
        <v>35</v>
      </c>
      <c r="AA58" s="33">
        <v>46</v>
      </c>
      <c r="AB58" s="33">
        <v>4</v>
      </c>
      <c r="AC58" s="33">
        <v>0</v>
      </c>
      <c r="AD58" s="33">
        <f>19+9</f>
        <v>28</v>
      </c>
      <c r="AE58" s="33">
        <v>0</v>
      </c>
      <c r="AF58" s="93">
        <f>SUM(Z58:AE58)</f>
        <v>113</v>
      </c>
    </row>
    <row r="59" spans="2:32" ht="15.75" customHeight="1">
      <c r="B59" s="9"/>
      <c r="C59" s="10" t="s">
        <v>107</v>
      </c>
      <c r="D59" s="384">
        <v>0</v>
      </c>
      <c r="E59" s="384">
        <v>0</v>
      </c>
      <c r="F59" s="384">
        <v>0</v>
      </c>
      <c r="G59" s="384">
        <v>0</v>
      </c>
      <c r="H59" s="384">
        <v>0</v>
      </c>
      <c r="I59" s="384">
        <v>0</v>
      </c>
      <c r="J59" s="384">
        <v>0</v>
      </c>
      <c r="K59" s="517">
        <f t="shared" si="26"/>
        <v>0</v>
      </c>
      <c r="L59" s="384">
        <v>0</v>
      </c>
      <c r="M59" s="384">
        <v>0</v>
      </c>
      <c r="N59" s="384">
        <v>0</v>
      </c>
      <c r="O59" s="384">
        <v>0</v>
      </c>
      <c r="P59" s="384">
        <v>0</v>
      </c>
      <c r="Q59" s="384">
        <v>0</v>
      </c>
      <c r="R59" s="28">
        <f>SUM(L59:Q59)</f>
        <v>0</v>
      </c>
      <c r="S59" s="33"/>
      <c r="T59" s="33"/>
      <c r="U59" s="33"/>
      <c r="V59" s="33"/>
      <c r="W59" s="33"/>
      <c r="X59" s="54"/>
      <c r="Y59" s="28">
        <f>SUM(S59:X59)</f>
        <v>0</v>
      </c>
      <c r="Z59" s="29">
        <v>0</v>
      </c>
      <c r="AA59" s="29">
        <v>0</v>
      </c>
      <c r="AB59" s="29">
        <v>0</v>
      </c>
      <c r="AC59" s="29">
        <v>0</v>
      </c>
      <c r="AD59" s="29">
        <v>0</v>
      </c>
      <c r="AE59" s="29">
        <v>0</v>
      </c>
      <c r="AF59" s="28">
        <f>SUM(Z59:AE59)</f>
        <v>0</v>
      </c>
    </row>
    <row r="60" spans="2:32" ht="15.75" customHeight="1" thickBot="1">
      <c r="B60" s="285"/>
      <c r="C60" s="286"/>
      <c r="D60" s="306"/>
      <c r="E60" s="306"/>
      <c r="F60" s="306"/>
      <c r="G60" s="306"/>
      <c r="H60" s="306"/>
      <c r="I60" s="306"/>
      <c r="J60" s="306"/>
      <c r="K60" s="464"/>
      <c r="L60" s="306"/>
      <c r="M60" s="306"/>
      <c r="N60" s="306"/>
      <c r="O60" s="306"/>
      <c r="P60" s="306"/>
      <c r="Q60" s="306"/>
      <c r="R60" s="464"/>
      <c r="S60" s="464"/>
      <c r="T60" s="464"/>
      <c r="U60" s="464"/>
      <c r="V60" s="464"/>
      <c r="W60" s="464"/>
      <c r="X60" s="464"/>
      <c r="Y60" s="464"/>
      <c r="Z60" s="464"/>
      <c r="AA60" s="464"/>
      <c r="AB60" s="464"/>
      <c r="AC60" s="464"/>
      <c r="AD60" s="464"/>
      <c r="AE60" s="464"/>
      <c r="AF60" s="464"/>
    </row>
    <row r="61" spans="2:32" ht="15.75" customHeight="1">
      <c r="B61" s="7" t="s">
        <v>112</v>
      </c>
      <c r="C61" s="8"/>
      <c r="D61" s="441"/>
      <c r="E61" s="441"/>
      <c r="F61" s="441"/>
      <c r="G61" s="441"/>
      <c r="H61" s="441"/>
      <c r="I61" s="441"/>
      <c r="J61" s="441"/>
      <c r="K61" s="462"/>
      <c r="L61" s="441"/>
      <c r="M61" s="441"/>
      <c r="N61" s="441"/>
      <c r="O61" s="441"/>
      <c r="P61" s="441"/>
      <c r="Q61" s="441"/>
      <c r="R61" s="462"/>
      <c r="S61" s="59"/>
      <c r="T61" s="59"/>
      <c r="U61" s="59"/>
      <c r="V61" s="59"/>
      <c r="W61" s="59"/>
      <c r="X61" s="59"/>
      <c r="Y61" s="462"/>
      <c r="Z61" s="59"/>
      <c r="AA61" s="59"/>
      <c r="AB61" s="59"/>
      <c r="AC61" s="59"/>
      <c r="AD61" s="59"/>
      <c r="AE61" s="59"/>
      <c r="AF61" s="462"/>
    </row>
    <row r="62" spans="2:32" ht="15.75" customHeight="1">
      <c r="B62" s="9"/>
      <c r="C62" s="10" t="s">
        <v>113</v>
      </c>
      <c r="D62" s="351">
        <f>(D56+D47)/$D$17</f>
        <v>0.55126050420168071</v>
      </c>
      <c r="E62" s="351">
        <f>(E56+E47)/$E$17</f>
        <v>0.47544204322200395</v>
      </c>
      <c r="F62" s="469">
        <f>(F56+F47)/$F$17</f>
        <v>0.12340425531914893</v>
      </c>
      <c r="G62" s="351">
        <f>(G56+G47)/$G$17</f>
        <v>0.11280487804878049</v>
      </c>
      <c r="H62" s="351">
        <f>(H56+H47)/$H$17</f>
        <v>0.30526315789473685</v>
      </c>
      <c r="I62" s="351">
        <f>(I56+I47)/$I$17</f>
        <v>0.5357142857142857</v>
      </c>
      <c r="J62" s="351">
        <f>(J56+J47)/$J$17</f>
        <v>0.95</v>
      </c>
      <c r="K62" s="519">
        <f>(K56+K47)/$K$17</f>
        <v>0.32729518320296419</v>
      </c>
      <c r="L62" s="351">
        <f>(L56+L47)/$L$17</f>
        <v>0.56451612903225812</v>
      </c>
      <c r="M62" s="351">
        <f>(M56+M47)/$M$17</f>
        <v>0.47904191616766467</v>
      </c>
      <c r="N62" s="351">
        <f>(N56+N47)/$N$17</f>
        <v>0.15231788079470199</v>
      </c>
      <c r="O62" s="351">
        <f>(O56+O47)/$O$17</f>
        <v>0.30952380952380953</v>
      </c>
      <c r="P62" s="351">
        <f>(P56+P47)/$P$17</f>
        <v>0</v>
      </c>
      <c r="Q62" s="351">
        <f>(Q56+Q47)/$Q$17</f>
        <v>0.94736842105263153</v>
      </c>
      <c r="R62" s="91">
        <f>(R56+R47)/$R$17</f>
        <v>0.41828793774319067</v>
      </c>
      <c r="S62" s="92">
        <f>(S56+S47)/$S$17</f>
        <v>0.51067615658362986</v>
      </c>
      <c r="T62" s="92">
        <f>(T56+T47)/$T$17</f>
        <v>0.70436507936507942</v>
      </c>
      <c r="U62" s="92">
        <f>(U56+U47)/$U$17</f>
        <v>6.3492063492063489E-2</v>
      </c>
      <c r="V62" s="92">
        <f>(V56+V47)/$V$17</f>
        <v>0.40963855421686746</v>
      </c>
      <c r="W62" s="92">
        <f>(W56+W47)/$W$17</f>
        <v>0.20987654320987653</v>
      </c>
      <c r="X62" s="92">
        <f>(X56+X47)/$X$17</f>
        <v>0.94736842105263153</v>
      </c>
      <c r="Y62" s="91">
        <f>(Y56+Y47)/$Y$17</f>
        <v>0.52290909090909088</v>
      </c>
      <c r="Z62" s="92">
        <f>(Z56+Z47)/$Z$17</f>
        <v>0.4972067039106145</v>
      </c>
      <c r="AA62" s="92">
        <f>(AA56+AA47)/$AA$17</f>
        <v>0.70974155069582501</v>
      </c>
      <c r="AB62" s="92">
        <f>(AB56+AB47)/$AB$17</f>
        <v>0.14492753623188406</v>
      </c>
      <c r="AC62" s="92">
        <f>(AC56+AC47)/$AC$17</f>
        <v>0.35365853658536583</v>
      </c>
      <c r="AD62" s="92">
        <f>(AD56+AD47)/$AD$17</f>
        <v>0.19178082191780821</v>
      </c>
      <c r="AE62" s="92">
        <f>(AE56+AE47)/$AE$17</f>
        <v>0.72</v>
      </c>
      <c r="AF62" s="91">
        <f>(AF56+AF47)/$AF$17</f>
        <v>0.53917765709852594</v>
      </c>
    </row>
    <row r="63" spans="2:32" ht="15.75" customHeight="1">
      <c r="B63" s="9"/>
      <c r="C63" s="10" t="s">
        <v>114</v>
      </c>
      <c r="D63" s="351">
        <f>(D57+D48)/$D$17</f>
        <v>0.27058823529411763</v>
      </c>
      <c r="E63" s="351">
        <f>(E57+E48)/$E$17</f>
        <v>0.47544204322200395</v>
      </c>
      <c r="F63" s="469">
        <f>(F57+F48)/$F$17</f>
        <v>1.9148936170212766E-2</v>
      </c>
      <c r="G63" s="351">
        <f>(G57+G48)/$G$17</f>
        <v>0.19359756097560976</v>
      </c>
      <c r="H63" s="351">
        <f>(H57+H48)/$H$17</f>
        <v>0.42105263157894735</v>
      </c>
      <c r="I63" s="351">
        <f>(I57+I48)/$I$17</f>
        <v>0.13095238095238096</v>
      </c>
      <c r="J63" s="351">
        <f>(J57+J48)/$J$17</f>
        <v>0</v>
      </c>
      <c r="K63" s="519">
        <f>(K57+K48)/$K$17</f>
        <v>0.2428983120625772</v>
      </c>
      <c r="L63" s="351">
        <f>(L57+L48)/$L$17</f>
        <v>0.25806451612903225</v>
      </c>
      <c r="M63" s="351">
        <f>(M57+M48)/$M$17</f>
        <v>0.47504990019960081</v>
      </c>
      <c r="N63" s="351">
        <f>(N57+N48)/$N$17</f>
        <v>2.9801324503311258E-2</v>
      </c>
      <c r="O63" s="351">
        <f>(O57+O48)/$O$17</f>
        <v>0.54761904761904767</v>
      </c>
      <c r="P63" s="351">
        <f>(P57+P48)/$P$17</f>
        <v>0.5</v>
      </c>
      <c r="Q63" s="351">
        <f>(Q57+Q48)/$Q$17</f>
        <v>0</v>
      </c>
      <c r="R63" s="91">
        <f>(R57+R48)/$R$17</f>
        <v>0.30869001297016863</v>
      </c>
      <c r="S63" s="92">
        <f>(S57+S48)/$S$17</f>
        <v>0.28647686832740216</v>
      </c>
      <c r="T63" s="92">
        <f>(T57+T48)/$T$17</f>
        <v>0.13095238095238096</v>
      </c>
      <c r="U63" s="92">
        <f>(U57+U48)/$U$17</f>
        <v>8.7301587301587297E-2</v>
      </c>
      <c r="V63" s="92">
        <f>(V57+V48)/$V$17</f>
        <v>0.12048192771084337</v>
      </c>
      <c r="W63" s="92">
        <f>(W57+W48)/$W$17</f>
        <v>0.19753086419753085</v>
      </c>
      <c r="X63" s="92">
        <f>(X57+X48)/$X$17</f>
        <v>0</v>
      </c>
      <c r="Y63" s="91">
        <f>(Y57+Y48)/$Y$17</f>
        <v>0.192</v>
      </c>
      <c r="Z63" s="92">
        <f>(Z57+Z48)/$Z$17</f>
        <v>0.29050279329608941</v>
      </c>
      <c r="AA63" s="92">
        <f>(AA57+AA48)/$AA$17</f>
        <v>0.12524850894632206</v>
      </c>
      <c r="AB63" s="92">
        <f>(AB57+AB48)/$AB$17</f>
        <v>0.10144927536231885</v>
      </c>
      <c r="AC63" s="92">
        <f>(AC57+AC48)/$AC$17</f>
        <v>0.12195121951219512</v>
      </c>
      <c r="AD63" s="92">
        <f>(AD57+AD48)/$AD$17</f>
        <v>0.19178082191780821</v>
      </c>
      <c r="AE63" s="92">
        <f>(AE57+AE48)/$AE$17</f>
        <v>0</v>
      </c>
      <c r="AF63" s="91">
        <f>(AF57+AF48)/$AF$17</f>
        <v>0.19394879751745539</v>
      </c>
    </row>
    <row r="64" spans="2:32" ht="15.75" customHeight="1">
      <c r="B64" s="9"/>
      <c r="C64" s="10" t="s">
        <v>115</v>
      </c>
      <c r="D64" s="351">
        <f>(D58+D49)/$D$17</f>
        <v>0.17478991596638654</v>
      </c>
      <c r="E64" s="351">
        <f>(E58+E49)/$E$17</f>
        <v>4.9115913555992138E-2</v>
      </c>
      <c r="F64" s="469">
        <f>(F58+F49)/$F$17</f>
        <v>0.84042553191489366</v>
      </c>
      <c r="G64" s="351">
        <f>(G58+G49)/$G$17</f>
        <v>0.69359756097560976</v>
      </c>
      <c r="H64" s="351">
        <f>(H58+H49)/$H$17</f>
        <v>0.23157894736842105</v>
      </c>
      <c r="I64" s="351">
        <f>(I58+I49)/$I$17</f>
        <v>0.30952380952380953</v>
      </c>
      <c r="J64" s="351">
        <f>(J58+J49)/$J$17</f>
        <v>0</v>
      </c>
      <c r="K64" s="519">
        <f>(K58+K49)/$K$17</f>
        <v>0.42280773981062164</v>
      </c>
      <c r="L64" s="351">
        <f>(L58+L49)/$L$17</f>
        <v>0.17383512544802868</v>
      </c>
      <c r="M64" s="351">
        <f>(M58+M49)/$M$17</f>
        <v>4.3912175648702596E-2</v>
      </c>
      <c r="N64" s="351">
        <f>(N58+N49)/$N$17</f>
        <v>0.7814569536423841</v>
      </c>
      <c r="O64" s="351">
        <f>(O58+O49)/$O$17</f>
        <v>0.13095238095238096</v>
      </c>
      <c r="P64" s="351">
        <f>(P58+P49)/$P$17</f>
        <v>0.47435897435897434</v>
      </c>
      <c r="Q64" s="351">
        <v>0</v>
      </c>
      <c r="R64" s="91">
        <f>(R58+R49)/$R$17</f>
        <v>0.26134889753566798</v>
      </c>
      <c r="S64" s="92">
        <f>(S58+S49)/$S$17</f>
        <v>0.199288256227758</v>
      </c>
      <c r="T64" s="92">
        <f>(T58+T49)/$T$17</f>
        <v>0.16468253968253968</v>
      </c>
      <c r="U64" s="92">
        <f>(U58+U49)/$U$17</f>
        <v>0.76190476190476186</v>
      </c>
      <c r="V64" s="92">
        <f>(V58+V49)/$V$17</f>
        <v>0.42168674698795183</v>
      </c>
      <c r="W64" s="92">
        <f>(W58+W49)/$W$17</f>
        <v>0.58024691358024694</v>
      </c>
      <c r="X64" s="92">
        <f>(X58+X49)/$X$17</f>
        <v>0</v>
      </c>
      <c r="Y64" s="91">
        <f>(Y58+Y49)/$Y$17</f>
        <v>0.27127272727272728</v>
      </c>
      <c r="Z64" s="92">
        <f>(Z58+Z49)/$Z$17</f>
        <v>0.21229050279329609</v>
      </c>
      <c r="AA64" s="92">
        <f>(AA58+AA49)/$AA$17</f>
        <v>0.16500994035785288</v>
      </c>
      <c r="AB64" s="92">
        <f>(AB58+AB49)/$AB$17</f>
        <v>0.6376811594202898</v>
      </c>
      <c r="AC64" s="92">
        <f>(AC58+AC49)/$AC$17</f>
        <v>0.45121951219512196</v>
      </c>
      <c r="AD64" s="92">
        <f>(AD58+AD49)/$AD$17</f>
        <v>0.61643835616438358</v>
      </c>
      <c r="AE64" s="92">
        <f>(AE58+AE49)/$AE$17</f>
        <v>0</v>
      </c>
      <c r="AF64" s="91">
        <f>(AF58+AF49)/$AF$17</f>
        <v>0.25058184639255238</v>
      </c>
    </row>
    <row r="65" spans="2:32" ht="15.75" customHeight="1">
      <c r="B65" s="9"/>
      <c r="C65" s="10" t="s">
        <v>116</v>
      </c>
      <c r="D65" s="351">
        <f>(D59+D50)/$D$17</f>
        <v>3.3613445378151263E-3</v>
      </c>
      <c r="E65" s="351">
        <f>(E59+E50)/$E$17</f>
        <v>0</v>
      </c>
      <c r="F65" s="469">
        <f>(F59+F50)/$F$17</f>
        <v>1.7021276595744681E-2</v>
      </c>
      <c r="G65" s="351">
        <f>(G59+G50)/$G$17</f>
        <v>0</v>
      </c>
      <c r="H65" s="351">
        <f>(H59+H50)/$H$17</f>
        <v>0</v>
      </c>
      <c r="I65" s="351">
        <f>(I59+I50)/$I$17</f>
        <v>2.3809523809523808E-2</v>
      </c>
      <c r="J65" s="351">
        <f>(J59+J50)/$J$17</f>
        <v>0.05</v>
      </c>
      <c r="K65" s="519">
        <f>(K59+K50)/$K$17</f>
        <v>5.3519967064635651E-3</v>
      </c>
      <c r="L65" s="470">
        <f>(L59+L50)/$L$17</f>
        <v>3.5842293906810036E-3</v>
      </c>
      <c r="M65" s="470">
        <f>(M59+M50)/$M$17</f>
        <v>1.996007984031936E-3</v>
      </c>
      <c r="N65" s="470">
        <f>(N59+N50)/$N$17</f>
        <v>2.6490066225165563E-2</v>
      </c>
      <c r="O65" s="470">
        <f>(O59+O50)/$O$17</f>
        <v>0</v>
      </c>
      <c r="P65" s="470">
        <f>(P59+P50)/$P$17</f>
        <v>7.6923076923076927E-2</v>
      </c>
      <c r="Q65" s="470">
        <f>(Q59+Q50)/$Q$17</f>
        <v>5.2631578947368418E-2</v>
      </c>
      <c r="R65" s="91">
        <f>(R59+R50)/$R$17</f>
        <v>1.1673151750972763E-2</v>
      </c>
      <c r="S65" s="92">
        <f>(S59+S50)/$S$17</f>
        <v>3.5587188612099642E-3</v>
      </c>
      <c r="T65" s="92">
        <f>(T59+T50)/$T$17</f>
        <v>0</v>
      </c>
      <c r="U65" s="92">
        <f>(U59+U50)/$U$17</f>
        <v>8.7301587301587297E-2</v>
      </c>
      <c r="V65" s="92">
        <f>(V59+V50)/$V$17</f>
        <v>4.8192771084337352E-2</v>
      </c>
      <c r="W65" s="92">
        <f>(W59+W50)/$W$17</f>
        <v>1.2345679012345678E-2</v>
      </c>
      <c r="X65" s="92">
        <f>(X59+X50)/$X$17</f>
        <v>5.2631578947368418E-2</v>
      </c>
      <c r="Y65" s="91">
        <f>(Y59+Y50)/$Y$17</f>
        <v>1.3818181818181818E-2</v>
      </c>
      <c r="Z65" s="92">
        <f>(Z59+Z50)/$Z$17</f>
        <v>0</v>
      </c>
      <c r="AA65" s="92">
        <f>(AA59+AA50)/$AA$17</f>
        <v>0</v>
      </c>
      <c r="AB65" s="92">
        <f>(AB59+AB50)/$AB$17</f>
        <v>0.11594202898550725</v>
      </c>
      <c r="AC65" s="92">
        <f>(AC59+AC50)/$AC$17</f>
        <v>7.3170731707317069E-2</v>
      </c>
      <c r="AD65" s="92">
        <f>(AD59+AD50)/$AD$17</f>
        <v>0</v>
      </c>
      <c r="AE65" s="92">
        <f>(AE59+AE50)/$AE$17</f>
        <v>0.28000000000000003</v>
      </c>
      <c r="AF65" s="91">
        <f>(AF59+AF50)/$AF$17</f>
        <v>1.6291698991466253E-2</v>
      </c>
    </row>
    <row r="66" spans="2:32" ht="15.75" customHeight="1" thickBot="1">
      <c r="B66" s="285"/>
      <c r="C66" s="286"/>
      <c r="D66" s="306"/>
      <c r="E66" s="306"/>
      <c r="F66" s="306"/>
      <c r="G66" s="306"/>
      <c r="H66" s="306"/>
      <c r="I66" s="306"/>
      <c r="J66" s="306"/>
      <c r="K66" s="313"/>
      <c r="L66" s="306"/>
      <c r="M66" s="306"/>
      <c r="N66" s="306"/>
      <c r="O66" s="306"/>
      <c r="P66" s="306"/>
      <c r="Q66" s="306"/>
      <c r="R66" s="313"/>
      <c r="S66" s="313"/>
      <c r="T66" s="313"/>
      <c r="U66" s="313"/>
      <c r="V66" s="313"/>
      <c r="W66" s="313"/>
      <c r="X66" s="313"/>
      <c r="Y66" s="313"/>
      <c r="Z66" s="313"/>
      <c r="AA66" s="313"/>
      <c r="AB66" s="313"/>
      <c r="AC66" s="313"/>
      <c r="AD66" s="313"/>
      <c r="AE66" s="313"/>
      <c r="AF66" s="313"/>
    </row>
    <row r="67" spans="2:32" s="451" customFormat="1" ht="15.75" customHeight="1">
      <c r="B67" s="168" t="s">
        <v>117</v>
      </c>
      <c r="C67" s="169"/>
      <c r="D67" s="471"/>
      <c r="E67" s="471"/>
      <c r="F67" s="471"/>
      <c r="G67" s="471"/>
      <c r="H67" s="471"/>
      <c r="I67" s="471"/>
      <c r="J67" s="471"/>
      <c r="K67" s="472"/>
      <c r="L67" s="471"/>
      <c r="M67" s="471"/>
      <c r="N67" s="471"/>
      <c r="O67" s="471"/>
      <c r="P67" s="471"/>
      <c r="Q67" s="471"/>
      <c r="R67" s="472"/>
      <c r="S67" s="472"/>
      <c r="T67" s="472"/>
      <c r="U67" s="472"/>
      <c r="V67" s="472"/>
      <c r="W67" s="472"/>
      <c r="X67" s="472"/>
      <c r="Y67" s="472"/>
      <c r="Z67" s="472"/>
      <c r="AA67" s="472"/>
      <c r="AB67" s="472"/>
      <c r="AC67" s="472"/>
      <c r="AD67" s="472"/>
      <c r="AE67" s="472"/>
      <c r="AF67" s="472"/>
    </row>
    <row r="68" spans="2:32" s="451" customFormat="1" ht="15.75" customHeight="1">
      <c r="B68" s="173"/>
      <c r="C68" s="174" t="s">
        <v>118</v>
      </c>
      <c r="D68" s="457">
        <f t="shared" ref="D68:J68" si="29">D55</f>
        <v>433</v>
      </c>
      <c r="E68" s="457">
        <f t="shared" si="29"/>
        <v>393</v>
      </c>
      <c r="F68" s="457">
        <f t="shared" si="29"/>
        <v>260</v>
      </c>
      <c r="G68" s="457">
        <f>G55</f>
        <v>99</v>
      </c>
      <c r="H68" s="457">
        <f t="shared" si="29"/>
        <v>56</v>
      </c>
      <c r="I68" s="457">
        <f t="shared" si="29"/>
        <v>0</v>
      </c>
      <c r="J68" s="457">
        <f t="shared" si="29"/>
        <v>0</v>
      </c>
      <c r="K68" s="525">
        <f>SUM(D68:J68)</f>
        <v>1241</v>
      </c>
      <c r="L68" s="457">
        <f t="shared" ref="L68:Q68" si="30">L55</f>
        <v>402</v>
      </c>
      <c r="M68" s="457">
        <f t="shared" si="30"/>
        <v>390</v>
      </c>
      <c r="N68" s="457">
        <f t="shared" si="30"/>
        <v>136</v>
      </c>
      <c r="O68" s="457">
        <f t="shared" si="30"/>
        <v>55</v>
      </c>
      <c r="P68" s="457">
        <f t="shared" si="30"/>
        <v>0</v>
      </c>
      <c r="Q68" s="457">
        <f t="shared" si="30"/>
        <v>0</v>
      </c>
      <c r="R68" s="474">
        <f>SUM(L68:Q68)</f>
        <v>983</v>
      </c>
      <c r="S68" s="475">
        <f t="shared" ref="S68:X68" si="31">S55</f>
        <v>408</v>
      </c>
      <c r="T68" s="475">
        <f t="shared" si="31"/>
        <v>391</v>
      </c>
      <c r="U68" s="475">
        <f t="shared" si="31"/>
        <v>41</v>
      </c>
      <c r="V68" s="475">
        <f t="shared" si="31"/>
        <v>0</v>
      </c>
      <c r="W68" s="475">
        <f t="shared" si="31"/>
        <v>51</v>
      </c>
      <c r="X68" s="475">
        <f t="shared" si="31"/>
        <v>0</v>
      </c>
      <c r="Y68" s="474">
        <f>SUM(S68:X68)</f>
        <v>891</v>
      </c>
      <c r="Z68" s="475">
        <f t="shared" ref="Z68:AE68" si="32">Z55</f>
        <v>381</v>
      </c>
      <c r="AA68" s="475">
        <f t="shared" si="32"/>
        <v>391</v>
      </c>
      <c r="AB68" s="475">
        <f t="shared" si="32"/>
        <v>15</v>
      </c>
      <c r="AC68" s="475">
        <f t="shared" si="32"/>
        <v>0</v>
      </c>
      <c r="AD68" s="475">
        <f t="shared" si="32"/>
        <v>43</v>
      </c>
      <c r="AE68" s="475">
        <f t="shared" si="32"/>
        <v>0</v>
      </c>
      <c r="AF68" s="474">
        <f>SUM(Z68:AE68)</f>
        <v>830</v>
      </c>
    </row>
    <row r="69" spans="2:32" ht="15.75" customHeight="1" thickBot="1">
      <c r="B69" s="286"/>
      <c r="C69" s="286"/>
      <c r="D69" s="306"/>
      <c r="E69" s="306"/>
      <c r="F69" s="306"/>
      <c r="G69" s="306"/>
      <c r="H69" s="306"/>
      <c r="I69" s="306"/>
      <c r="J69" s="306"/>
      <c r="K69" s="313"/>
      <c r="L69" s="306"/>
      <c r="M69" s="306"/>
      <c r="N69" s="306"/>
      <c r="O69" s="306"/>
      <c r="P69" s="306"/>
      <c r="Q69" s="306"/>
      <c r="R69" s="313"/>
      <c r="S69" s="313"/>
      <c r="T69" s="313"/>
      <c r="U69" s="313"/>
      <c r="V69" s="313"/>
      <c r="W69" s="313"/>
      <c r="X69" s="313"/>
      <c r="Y69" s="313"/>
      <c r="Z69" s="313"/>
      <c r="AA69" s="313"/>
      <c r="AB69" s="313"/>
      <c r="AC69" s="313"/>
      <c r="AD69" s="313"/>
      <c r="AE69" s="313"/>
      <c r="AF69" s="313"/>
    </row>
    <row r="70" spans="2:32" ht="15.75" customHeight="1">
      <c r="B70" s="7" t="s">
        <v>119</v>
      </c>
      <c r="C70" s="8"/>
      <c r="D70" s="441"/>
      <c r="E70" s="441"/>
      <c r="F70" s="441"/>
      <c r="G70" s="441"/>
      <c r="H70" s="441"/>
      <c r="I70" s="441"/>
      <c r="J70" s="441"/>
      <c r="K70" s="59"/>
      <c r="L70" s="441"/>
      <c r="M70" s="441"/>
      <c r="N70" s="441"/>
      <c r="O70" s="441"/>
      <c r="P70" s="441"/>
      <c r="Q70" s="441"/>
      <c r="R70" s="59"/>
      <c r="S70" s="59"/>
      <c r="T70" s="59"/>
      <c r="U70" s="59"/>
      <c r="V70" s="59"/>
      <c r="W70" s="59"/>
      <c r="X70" s="59"/>
      <c r="Y70" s="59"/>
      <c r="Z70" s="59"/>
      <c r="AA70" s="59"/>
      <c r="AB70" s="59"/>
      <c r="AC70" s="59"/>
      <c r="AD70" s="59"/>
      <c r="AE70" s="59"/>
      <c r="AF70" s="59"/>
    </row>
    <row r="71" spans="2:32" ht="15.75" customHeight="1">
      <c r="B71" s="9"/>
      <c r="C71" s="10" t="s">
        <v>120</v>
      </c>
      <c r="D71" s="351">
        <f t="shared" ref="D71:J71" si="33">D55/D17</f>
        <v>0.72773109243697476</v>
      </c>
      <c r="E71" s="351">
        <f t="shared" si="33"/>
        <v>0.77210216110019647</v>
      </c>
      <c r="F71" s="351">
        <f t="shared" si="33"/>
        <v>0.55319148936170215</v>
      </c>
      <c r="G71" s="351">
        <f>G55/G17</f>
        <v>0.15091463414634146</v>
      </c>
      <c r="H71" s="351">
        <f t="shared" si="33"/>
        <v>0.58947368421052626</v>
      </c>
      <c r="I71" s="351">
        <f t="shared" si="33"/>
        <v>0</v>
      </c>
      <c r="J71" s="351">
        <f t="shared" si="33"/>
        <v>0</v>
      </c>
      <c r="K71" s="519">
        <f>K55/K$17</f>
        <v>0.51090983944009882</v>
      </c>
      <c r="L71" s="351">
        <f t="shared" ref="L71:Q71" si="34">L55/L17</f>
        <v>0.72043010752688175</v>
      </c>
      <c r="M71" s="351">
        <f t="shared" si="34"/>
        <v>0.77844311377245512</v>
      </c>
      <c r="N71" s="351">
        <f t="shared" si="34"/>
        <v>0.45033112582781459</v>
      </c>
      <c r="O71" s="351">
        <f t="shared" si="34"/>
        <v>0.65476190476190477</v>
      </c>
      <c r="P71" s="351">
        <f t="shared" si="34"/>
        <v>0</v>
      </c>
      <c r="Q71" s="351">
        <f t="shared" si="34"/>
        <v>0</v>
      </c>
      <c r="R71" s="91">
        <f t="shared" ref="R71:AF71" si="35">R55/R$17</f>
        <v>0.63748378728923472</v>
      </c>
      <c r="S71" s="92">
        <f t="shared" si="35"/>
        <v>0.72597864768683273</v>
      </c>
      <c r="T71" s="92">
        <f t="shared" si="35"/>
        <v>0.77579365079365081</v>
      </c>
      <c r="U71" s="92">
        <f t="shared" si="35"/>
        <v>0.32539682539682541</v>
      </c>
      <c r="V71" s="92">
        <f t="shared" si="35"/>
        <v>0</v>
      </c>
      <c r="W71" s="92">
        <f t="shared" si="35"/>
        <v>0.62962962962962965</v>
      </c>
      <c r="X71" s="92">
        <f t="shared" si="35"/>
        <v>0</v>
      </c>
      <c r="Y71" s="91">
        <f t="shared" si="35"/>
        <v>0.64800000000000002</v>
      </c>
      <c r="Z71" s="92">
        <f t="shared" si="35"/>
        <v>0.70949720670391059</v>
      </c>
      <c r="AA71" s="92">
        <f t="shared" si="35"/>
        <v>0.77733598409542748</v>
      </c>
      <c r="AB71" s="92">
        <f t="shared" si="35"/>
        <v>0.21739130434782608</v>
      </c>
      <c r="AC71" s="92">
        <f t="shared" si="35"/>
        <v>0</v>
      </c>
      <c r="AD71" s="92">
        <f t="shared" si="35"/>
        <v>0.58904109589041098</v>
      </c>
      <c r="AE71" s="92">
        <f t="shared" si="35"/>
        <v>0</v>
      </c>
      <c r="AF71" s="91">
        <f t="shared" si="35"/>
        <v>0.64391000775795193</v>
      </c>
    </row>
    <row r="72" spans="2:32" ht="15.75" customHeight="1">
      <c r="B72" s="9"/>
      <c r="C72" s="10" t="s">
        <v>121</v>
      </c>
      <c r="D72" s="351">
        <f t="shared" ref="D72:K72" si="36">D46/D$17</f>
        <v>0.27226890756302519</v>
      </c>
      <c r="E72" s="351">
        <f t="shared" si="36"/>
        <v>0.22789783889980353</v>
      </c>
      <c r="F72" s="351">
        <f t="shared" si="36"/>
        <v>0.44680851063829785</v>
      </c>
      <c r="G72" s="351">
        <f>G46/G$17</f>
        <v>0.84908536585365857</v>
      </c>
      <c r="H72" s="351">
        <f t="shared" si="36"/>
        <v>0.41052631578947368</v>
      </c>
      <c r="I72" s="351">
        <f t="shared" si="36"/>
        <v>1</v>
      </c>
      <c r="J72" s="351">
        <f t="shared" si="36"/>
        <v>1</v>
      </c>
      <c r="K72" s="519">
        <f t="shared" si="36"/>
        <v>0.48909016055990118</v>
      </c>
      <c r="L72" s="351">
        <f t="shared" ref="L72:AF72" si="37">L46/L$17</f>
        <v>0.27956989247311825</v>
      </c>
      <c r="M72" s="351">
        <f t="shared" si="37"/>
        <v>0.22155688622754491</v>
      </c>
      <c r="N72" s="351">
        <f t="shared" si="37"/>
        <v>0.53973509933774833</v>
      </c>
      <c r="O72" s="351">
        <f t="shared" si="37"/>
        <v>0.33333333333333331</v>
      </c>
      <c r="P72" s="351">
        <f t="shared" si="37"/>
        <v>1.0512820512820513</v>
      </c>
      <c r="Q72" s="351">
        <f t="shared" si="37"/>
        <v>1</v>
      </c>
      <c r="R72" s="91">
        <f t="shared" si="37"/>
        <v>0.36251621271076523</v>
      </c>
      <c r="S72" s="92">
        <f t="shared" si="37"/>
        <v>0.27402135231316727</v>
      </c>
      <c r="T72" s="92">
        <f t="shared" si="37"/>
        <v>0.22420634920634921</v>
      </c>
      <c r="U72" s="92">
        <f t="shared" si="37"/>
        <v>0.67460317460317465</v>
      </c>
      <c r="V72" s="92">
        <f t="shared" si="37"/>
        <v>1</v>
      </c>
      <c r="W72" s="92">
        <f t="shared" si="37"/>
        <v>0.37037037037037035</v>
      </c>
      <c r="X72" s="92">
        <f t="shared" si="37"/>
        <v>1</v>
      </c>
      <c r="Y72" s="91">
        <f t="shared" si="37"/>
        <v>0.35199999999999998</v>
      </c>
      <c r="Z72" s="92">
        <f t="shared" si="37"/>
        <v>0.29050279329608941</v>
      </c>
      <c r="AA72" s="92">
        <f t="shared" si="37"/>
        <v>0.22266401590457258</v>
      </c>
      <c r="AB72" s="92">
        <f t="shared" si="37"/>
        <v>0.78260869565217395</v>
      </c>
      <c r="AC72" s="92">
        <f t="shared" si="37"/>
        <v>1</v>
      </c>
      <c r="AD72" s="92">
        <f t="shared" si="37"/>
        <v>0.41095890410958902</v>
      </c>
      <c r="AE72" s="92">
        <f t="shared" si="37"/>
        <v>1</v>
      </c>
      <c r="AF72" s="91">
        <f t="shared" si="37"/>
        <v>0.35608999224204813</v>
      </c>
    </row>
    <row r="73" spans="2:32" ht="15.75" customHeight="1" thickBot="1">
      <c r="B73" s="286"/>
      <c r="C73" s="286"/>
      <c r="D73" s="306"/>
      <c r="E73" s="306"/>
      <c r="F73" s="306"/>
      <c r="G73" s="306"/>
      <c r="H73" s="306"/>
      <c r="I73" s="306"/>
      <c r="J73" s="306"/>
      <c r="K73" s="313"/>
      <c r="L73" s="306"/>
      <c r="M73" s="306"/>
      <c r="N73" s="306"/>
      <c r="O73" s="306"/>
      <c r="P73" s="306"/>
      <c r="Q73" s="306"/>
      <c r="R73" s="313"/>
      <c r="S73" s="313"/>
      <c r="T73" s="313"/>
      <c r="U73" s="313"/>
      <c r="V73" s="313"/>
      <c r="W73" s="313"/>
      <c r="X73" s="313"/>
      <c r="Y73" s="313"/>
      <c r="Z73" s="313"/>
      <c r="AA73" s="313"/>
      <c r="AB73" s="313"/>
      <c r="AC73" s="313"/>
      <c r="AD73" s="313"/>
      <c r="AE73" s="313"/>
      <c r="AF73" s="313"/>
    </row>
    <row r="74" spans="2:32" ht="15.75" customHeight="1">
      <c r="B74" s="7" t="s">
        <v>122</v>
      </c>
      <c r="C74" s="8"/>
      <c r="D74" s="441"/>
      <c r="E74" s="441"/>
      <c r="F74" s="441"/>
      <c r="G74" s="441"/>
      <c r="H74" s="441"/>
      <c r="I74" s="441"/>
      <c r="J74" s="441"/>
      <c r="K74" s="59"/>
      <c r="L74" s="441"/>
      <c r="M74" s="441"/>
      <c r="N74" s="441"/>
      <c r="O74" s="441"/>
      <c r="P74" s="441"/>
      <c r="Q74" s="441"/>
      <c r="R74" s="59"/>
      <c r="S74" s="59"/>
      <c r="T74" s="59"/>
      <c r="U74" s="59"/>
      <c r="V74" s="59"/>
      <c r="W74" s="59"/>
      <c r="X74" s="59"/>
      <c r="Y74" s="59"/>
      <c r="Z74" s="59"/>
      <c r="AA74" s="59"/>
      <c r="AB74" s="59"/>
      <c r="AC74" s="59"/>
      <c r="AD74" s="59"/>
      <c r="AE74" s="59"/>
      <c r="AF74" s="59"/>
    </row>
    <row r="75" spans="2:32" ht="15.75" customHeight="1">
      <c r="B75" s="9"/>
      <c r="C75" s="10" t="s">
        <v>123</v>
      </c>
      <c r="D75" s="384">
        <v>129</v>
      </c>
      <c r="E75" s="384">
        <v>245</v>
      </c>
      <c r="F75" s="384">
        <v>104</v>
      </c>
      <c r="G75" s="384">
        <v>146</v>
      </c>
      <c r="H75" s="384">
        <v>12</v>
      </c>
      <c r="I75" s="384">
        <v>12</v>
      </c>
      <c r="J75" s="384">
        <v>3</v>
      </c>
      <c r="K75" s="494">
        <f>SUM(D75:J75)</f>
        <v>651</v>
      </c>
      <c r="L75" s="384">
        <v>127</v>
      </c>
      <c r="M75" s="384">
        <v>105</v>
      </c>
      <c r="N75" s="384">
        <v>100</v>
      </c>
      <c r="O75" s="384">
        <v>6</v>
      </c>
      <c r="P75" s="384">
        <v>10</v>
      </c>
      <c r="Q75" s="384">
        <v>2</v>
      </c>
      <c r="R75" s="93">
        <f>SUM(L75:Q75)</f>
        <v>350</v>
      </c>
      <c r="S75" s="33">
        <v>186</v>
      </c>
      <c r="T75" s="33">
        <v>147</v>
      </c>
      <c r="U75" s="33">
        <v>21</v>
      </c>
      <c r="V75" s="33">
        <v>15</v>
      </c>
      <c r="W75" s="33">
        <v>18</v>
      </c>
      <c r="X75" s="33">
        <v>3</v>
      </c>
      <c r="Y75" s="93">
        <f>SUM(S75:X75)</f>
        <v>390</v>
      </c>
      <c r="Z75" s="33">
        <v>137</v>
      </c>
      <c r="AA75" s="33">
        <v>117</v>
      </c>
      <c r="AB75" s="33">
        <v>10</v>
      </c>
      <c r="AC75" s="33">
        <v>15</v>
      </c>
      <c r="AD75" s="33">
        <v>15</v>
      </c>
      <c r="AE75" s="33">
        <v>2</v>
      </c>
      <c r="AF75" s="93">
        <f>SUM(Z75:AE75)</f>
        <v>296</v>
      </c>
    </row>
    <row r="76" spans="2:32" ht="15.75" customHeight="1">
      <c r="B76" s="9"/>
      <c r="C76" s="10" t="s">
        <v>124</v>
      </c>
      <c r="D76" s="384">
        <v>406</v>
      </c>
      <c r="E76" s="384">
        <v>241</v>
      </c>
      <c r="F76" s="384">
        <f>330+1</f>
        <v>331</v>
      </c>
      <c r="G76" s="384">
        <v>450</v>
      </c>
      <c r="H76" s="384">
        <f>65+4</f>
        <v>69</v>
      </c>
      <c r="I76" s="384">
        <f>61+1</f>
        <v>62</v>
      </c>
      <c r="J76" s="384">
        <v>11</v>
      </c>
      <c r="K76" s="494">
        <f>SUM(D76:J76)</f>
        <v>1570</v>
      </c>
      <c r="L76" s="384">
        <v>376</v>
      </c>
      <c r="M76" s="384">
        <v>335</v>
      </c>
      <c r="N76" s="384">
        <f>179+2</f>
        <v>181</v>
      </c>
      <c r="O76" s="384">
        <v>61</v>
      </c>
      <c r="P76" s="384">
        <f>58+1</f>
        <v>59</v>
      </c>
      <c r="Q76" s="384">
        <v>11</v>
      </c>
      <c r="R76" s="93">
        <f>SUM(L76:Q76)</f>
        <v>1023</v>
      </c>
      <c r="S76" s="33">
        <v>327</v>
      </c>
      <c r="T76" s="33">
        <v>310</v>
      </c>
      <c r="U76" s="33">
        <f>86+3</f>
        <v>89</v>
      </c>
      <c r="V76" s="33">
        <f>55+1</f>
        <v>56</v>
      </c>
      <c r="W76" s="33">
        <v>47</v>
      </c>
      <c r="X76" s="33">
        <v>9</v>
      </c>
      <c r="Y76" s="93">
        <f>SUM(S76:X76)</f>
        <v>838</v>
      </c>
      <c r="Z76" s="33">
        <v>340</v>
      </c>
      <c r="AA76" s="33">
        <v>330</v>
      </c>
      <c r="AB76" s="33">
        <f>45+3</f>
        <v>48</v>
      </c>
      <c r="AC76" s="33">
        <v>55</v>
      </c>
      <c r="AD76" s="33">
        <v>43</v>
      </c>
      <c r="AE76" s="33">
        <v>12</v>
      </c>
      <c r="AF76" s="93">
        <f>SUM(Z76:AE76)</f>
        <v>828</v>
      </c>
    </row>
    <row r="77" spans="2:32" ht="15.75" customHeight="1">
      <c r="B77" s="9"/>
      <c r="C77" s="10" t="s">
        <v>125</v>
      </c>
      <c r="D77" s="384">
        <f>58+2</f>
        <v>60</v>
      </c>
      <c r="E77" s="384">
        <v>23</v>
      </c>
      <c r="F77" s="384">
        <f>28+7</f>
        <v>35</v>
      </c>
      <c r="G77" s="384">
        <v>60</v>
      </c>
      <c r="H77" s="384">
        <f>13+1</f>
        <v>14</v>
      </c>
      <c r="I77" s="384">
        <f>9+1</f>
        <v>10</v>
      </c>
      <c r="J77" s="384">
        <v>6</v>
      </c>
      <c r="K77" s="494">
        <f>SUM(D77:J77)</f>
        <v>208</v>
      </c>
      <c r="L77" s="384">
        <f>53+2</f>
        <v>55</v>
      </c>
      <c r="M77" s="384">
        <v>61</v>
      </c>
      <c r="N77" s="384">
        <f>12+6</f>
        <v>18</v>
      </c>
      <c r="O77" s="384">
        <v>16</v>
      </c>
      <c r="P77" s="384">
        <f>8+5</f>
        <v>13</v>
      </c>
      <c r="Q77" s="384">
        <v>6</v>
      </c>
      <c r="R77" s="93">
        <f>SUM(L77:Q77)</f>
        <v>169</v>
      </c>
      <c r="S77" s="33">
        <f>47+2</f>
        <v>49</v>
      </c>
      <c r="T77" s="33">
        <v>47</v>
      </c>
      <c r="U77" s="33">
        <f>8+8</f>
        <v>16</v>
      </c>
      <c r="V77" s="33">
        <f>9+3</f>
        <v>12</v>
      </c>
      <c r="W77" s="33">
        <f>15+1</f>
        <v>16</v>
      </c>
      <c r="X77" s="33">
        <v>7</v>
      </c>
      <c r="Y77" s="93">
        <f>SUM(S77:X77)</f>
        <v>147</v>
      </c>
      <c r="Z77" s="33">
        <v>60</v>
      </c>
      <c r="AA77" s="33">
        <v>56</v>
      </c>
      <c r="AB77" s="33">
        <f>6+5</f>
        <v>11</v>
      </c>
      <c r="AC77" s="33">
        <v>12</v>
      </c>
      <c r="AD77" s="33">
        <v>15</v>
      </c>
      <c r="AE77" s="33">
        <v>11</v>
      </c>
      <c r="AF77" s="93">
        <f>SUM(Z77:AE77)</f>
        <v>165</v>
      </c>
    </row>
    <row r="78" spans="2:32" ht="15.75" customHeight="1" thickBot="1">
      <c r="B78" s="285"/>
      <c r="C78" s="286"/>
      <c r="D78" s="306"/>
      <c r="E78" s="306"/>
      <c r="F78" s="306"/>
      <c r="G78" s="306"/>
      <c r="H78" s="306"/>
      <c r="I78" s="306"/>
      <c r="J78" s="306"/>
      <c r="K78" s="313"/>
      <c r="L78" s="306"/>
      <c r="M78" s="306"/>
      <c r="N78" s="306"/>
      <c r="O78" s="306"/>
      <c r="P78" s="306"/>
      <c r="Q78" s="306"/>
      <c r="R78" s="313"/>
      <c r="S78" s="306"/>
      <c r="T78" s="306"/>
      <c r="U78" s="306"/>
      <c r="V78" s="306"/>
      <c r="W78" s="306"/>
      <c r="X78" s="313"/>
      <c r="Y78" s="313"/>
      <c r="Z78" s="313"/>
      <c r="AA78" s="313"/>
      <c r="AB78" s="313"/>
      <c r="AC78" s="313"/>
      <c r="AD78" s="313"/>
      <c r="AE78" s="313"/>
      <c r="AF78" s="313"/>
    </row>
    <row r="79" spans="2:32" ht="15.75" customHeight="1">
      <c r="B79" s="7" t="s">
        <v>126</v>
      </c>
      <c r="C79" s="8"/>
      <c r="D79" s="441"/>
      <c r="E79" s="441"/>
      <c r="F79" s="441"/>
      <c r="G79" s="441"/>
      <c r="H79" s="441"/>
      <c r="I79" s="441"/>
      <c r="J79" s="441"/>
      <c r="K79" s="59"/>
      <c r="L79" s="441"/>
      <c r="M79" s="476"/>
      <c r="N79" s="441"/>
      <c r="O79" s="441"/>
      <c r="P79" s="441"/>
      <c r="Q79" s="441"/>
      <c r="R79" s="59"/>
      <c r="S79" s="59"/>
      <c r="T79" s="59"/>
      <c r="U79" s="59"/>
      <c r="V79" s="59"/>
      <c r="W79" s="59"/>
      <c r="X79" s="59"/>
      <c r="Y79" s="59"/>
      <c r="Z79" s="59"/>
      <c r="AA79" s="59"/>
      <c r="AB79" s="59"/>
      <c r="AC79" s="59"/>
      <c r="AD79" s="59"/>
      <c r="AE79" s="59"/>
      <c r="AF79" s="59"/>
    </row>
    <row r="80" spans="2:32" ht="15.75" customHeight="1">
      <c r="B80" s="9"/>
      <c r="C80" s="10" t="s">
        <v>127</v>
      </c>
      <c r="D80" s="385">
        <f>88+2</f>
        <v>90</v>
      </c>
      <c r="E80" s="384">
        <v>56</v>
      </c>
      <c r="F80" s="384">
        <f>92+8</f>
        <v>100</v>
      </c>
      <c r="G80" s="384">
        <v>94</v>
      </c>
      <c r="H80" s="384">
        <f>12+1</f>
        <v>13</v>
      </c>
      <c r="I80" s="384">
        <f>33+2</f>
        <v>35</v>
      </c>
      <c r="J80" s="384">
        <v>6</v>
      </c>
      <c r="K80" s="494">
        <f>SUM(D80:J80)</f>
        <v>394</v>
      </c>
      <c r="L80" s="385">
        <f>81+2</f>
        <v>83</v>
      </c>
      <c r="M80" s="384">
        <v>57</v>
      </c>
      <c r="N80" s="384">
        <f>80+8</f>
        <v>88</v>
      </c>
      <c r="O80" s="384">
        <v>12</v>
      </c>
      <c r="P80" s="384">
        <f>31+6</f>
        <v>37</v>
      </c>
      <c r="Q80" s="384">
        <v>7</v>
      </c>
      <c r="R80" s="93">
        <f>SUM(L80:Q80)</f>
        <v>284</v>
      </c>
      <c r="S80" s="477">
        <f>81+S86</f>
        <v>83</v>
      </c>
      <c r="T80" s="477">
        <v>60</v>
      </c>
      <c r="U80" s="477">
        <f>33+U86</f>
        <v>40</v>
      </c>
      <c r="V80" s="477">
        <f>34+V86</f>
        <v>38</v>
      </c>
      <c r="W80" s="477">
        <f>13+W86</f>
        <v>14</v>
      </c>
      <c r="X80" s="33">
        <v>7</v>
      </c>
      <c r="Y80" s="93">
        <f>SUM(S80:X80)</f>
        <v>242</v>
      </c>
      <c r="Z80" s="477">
        <v>85</v>
      </c>
      <c r="AA80" s="477">
        <v>54</v>
      </c>
      <c r="AB80" s="477">
        <v>19</v>
      </c>
      <c r="AC80" s="477">
        <v>35</v>
      </c>
      <c r="AD80" s="477">
        <f>4+5</f>
        <v>9</v>
      </c>
      <c r="AE80" s="33">
        <f>5+7</f>
        <v>12</v>
      </c>
      <c r="AF80" s="93">
        <f>SUM(Z80:AE80)</f>
        <v>214</v>
      </c>
    </row>
    <row r="81" spans="2:32" ht="15.75" customHeight="1">
      <c r="B81" s="9"/>
      <c r="C81" s="10" t="s">
        <v>128</v>
      </c>
      <c r="D81" s="384">
        <v>13</v>
      </c>
      <c r="E81" s="384">
        <v>10</v>
      </c>
      <c r="F81" s="384">
        <v>16</v>
      </c>
      <c r="G81" s="384">
        <v>14</v>
      </c>
      <c r="H81" s="384">
        <v>4</v>
      </c>
      <c r="I81" s="384">
        <v>19</v>
      </c>
      <c r="J81" s="384">
        <v>6</v>
      </c>
      <c r="K81" s="494">
        <f>SUM(D81:J81)</f>
        <v>82</v>
      </c>
      <c r="L81" s="384">
        <v>14</v>
      </c>
      <c r="M81" s="384">
        <v>8</v>
      </c>
      <c r="N81" s="384">
        <v>11</v>
      </c>
      <c r="O81" s="384">
        <v>2</v>
      </c>
      <c r="P81" s="384">
        <v>16</v>
      </c>
      <c r="Q81" s="384">
        <v>5</v>
      </c>
      <c r="R81" s="93">
        <f>SUM(L81:Q81)</f>
        <v>56</v>
      </c>
      <c r="S81" s="477">
        <v>14</v>
      </c>
      <c r="T81" s="477">
        <v>11</v>
      </c>
      <c r="U81" s="477">
        <v>8</v>
      </c>
      <c r="V81" s="477">
        <v>15</v>
      </c>
      <c r="W81" s="477">
        <v>5</v>
      </c>
      <c r="X81" s="33">
        <v>5</v>
      </c>
      <c r="Y81" s="93">
        <f>SUM(S81:X81)</f>
        <v>58</v>
      </c>
      <c r="Z81" s="477">
        <v>12</v>
      </c>
      <c r="AA81" s="477">
        <v>10</v>
      </c>
      <c r="AB81" s="477">
        <v>5</v>
      </c>
      <c r="AC81" s="477">
        <v>14</v>
      </c>
      <c r="AD81" s="477">
        <f>3+0</f>
        <v>3</v>
      </c>
      <c r="AE81" s="33">
        <v>5</v>
      </c>
      <c r="AF81" s="93">
        <f>SUM(Z81:AE81)</f>
        <v>49</v>
      </c>
    </row>
    <row r="82" spans="2:32" ht="16">
      <c r="B82" s="13"/>
      <c r="C82" s="14" t="s">
        <v>129</v>
      </c>
      <c r="D82" s="54">
        <f>SUM(D80:D81)</f>
        <v>103</v>
      </c>
      <c r="E82" s="54">
        <f t="shared" ref="E82:J82" si="38">SUM(E80:E81)</f>
        <v>66</v>
      </c>
      <c r="F82" s="54">
        <f t="shared" si="38"/>
        <v>116</v>
      </c>
      <c r="G82" s="54">
        <f>SUM(G80:G81)</f>
        <v>108</v>
      </c>
      <c r="H82" s="54">
        <f t="shared" si="38"/>
        <v>17</v>
      </c>
      <c r="I82" s="54">
        <f t="shared" si="38"/>
        <v>54</v>
      </c>
      <c r="J82" s="54">
        <f t="shared" si="38"/>
        <v>12</v>
      </c>
      <c r="K82" s="522">
        <f>SUM(K80:K81)</f>
        <v>476</v>
      </c>
      <c r="L82" s="54">
        <f t="shared" ref="L82:AF82" si="39">SUM(L80:L81)</f>
        <v>97</v>
      </c>
      <c r="M82" s="54">
        <f t="shared" si="39"/>
        <v>65</v>
      </c>
      <c r="N82" s="54">
        <f t="shared" si="39"/>
        <v>99</v>
      </c>
      <c r="O82" s="54">
        <f t="shared" si="39"/>
        <v>14</v>
      </c>
      <c r="P82" s="54">
        <f t="shared" si="39"/>
        <v>53</v>
      </c>
      <c r="Q82" s="54">
        <f t="shared" si="39"/>
        <v>12</v>
      </c>
      <c r="R82" s="460">
        <f t="shared" si="39"/>
        <v>340</v>
      </c>
      <c r="S82" s="478">
        <f t="shared" si="39"/>
        <v>97</v>
      </c>
      <c r="T82" s="478">
        <f t="shared" si="39"/>
        <v>71</v>
      </c>
      <c r="U82" s="478">
        <f t="shared" si="39"/>
        <v>48</v>
      </c>
      <c r="V82" s="478">
        <f t="shared" si="39"/>
        <v>53</v>
      </c>
      <c r="W82" s="478">
        <f t="shared" si="39"/>
        <v>19</v>
      </c>
      <c r="X82" s="478">
        <f t="shared" si="39"/>
        <v>12</v>
      </c>
      <c r="Y82" s="460">
        <f t="shared" si="39"/>
        <v>300</v>
      </c>
      <c r="Z82" s="478">
        <f t="shared" si="39"/>
        <v>97</v>
      </c>
      <c r="AA82" s="478">
        <f t="shared" si="39"/>
        <v>64</v>
      </c>
      <c r="AB82" s="478">
        <f t="shared" si="39"/>
        <v>24</v>
      </c>
      <c r="AC82" s="478">
        <f t="shared" si="39"/>
        <v>49</v>
      </c>
      <c r="AD82" s="478">
        <f t="shared" si="39"/>
        <v>12</v>
      </c>
      <c r="AE82" s="478">
        <f t="shared" si="39"/>
        <v>17</v>
      </c>
      <c r="AF82" s="460">
        <f t="shared" si="39"/>
        <v>263</v>
      </c>
    </row>
    <row r="83" spans="2:32" ht="15.75" customHeight="1">
      <c r="B83" s="9"/>
      <c r="C83" s="10" t="s">
        <v>104</v>
      </c>
      <c r="D83" s="384">
        <v>26</v>
      </c>
      <c r="E83" s="384">
        <v>10</v>
      </c>
      <c r="F83" s="384">
        <v>3</v>
      </c>
      <c r="G83" s="384">
        <v>30</v>
      </c>
      <c r="H83" s="384">
        <v>0</v>
      </c>
      <c r="I83" s="384">
        <f>23+1</f>
        <v>24</v>
      </c>
      <c r="J83" s="384">
        <v>11</v>
      </c>
      <c r="K83" s="494">
        <f>SUM(D83:J83)</f>
        <v>104</v>
      </c>
      <c r="L83" s="384">
        <v>25</v>
      </c>
      <c r="M83" s="384">
        <v>10</v>
      </c>
      <c r="N83" s="384">
        <v>2</v>
      </c>
      <c r="O83" s="384">
        <v>2</v>
      </c>
      <c r="P83" s="384">
        <v>0</v>
      </c>
      <c r="Q83" s="384">
        <v>11</v>
      </c>
      <c r="R83" s="93">
        <f>SUM(L83:Q83)</f>
        <v>50</v>
      </c>
      <c r="S83" s="346">
        <v>16</v>
      </c>
      <c r="T83" s="346">
        <v>36</v>
      </c>
      <c r="U83" s="346">
        <v>0</v>
      </c>
      <c r="V83" s="346">
        <v>13</v>
      </c>
      <c r="W83" s="346">
        <v>8</v>
      </c>
      <c r="X83" s="346">
        <v>5</v>
      </c>
      <c r="Y83" s="93">
        <f>SUM(S83:X83)</f>
        <v>78</v>
      </c>
      <c r="Z83" s="477">
        <v>16</v>
      </c>
      <c r="AA83" s="477">
        <v>33</v>
      </c>
      <c r="AB83" s="477">
        <v>0</v>
      </c>
      <c r="AC83" s="477">
        <v>4</v>
      </c>
      <c r="AD83" s="477">
        <f>3+0</f>
        <v>3</v>
      </c>
      <c r="AE83" s="33">
        <v>0</v>
      </c>
      <c r="AF83" s="93">
        <f>SUM(Z83:AE83)</f>
        <v>56</v>
      </c>
    </row>
    <row r="84" spans="2:32" ht="15.75" customHeight="1">
      <c r="B84" s="9"/>
      <c r="C84" s="10" t="s">
        <v>105</v>
      </c>
      <c r="D84" s="384">
        <v>32</v>
      </c>
      <c r="E84" s="384">
        <v>36</v>
      </c>
      <c r="F84" s="384">
        <v>3</v>
      </c>
      <c r="G84" s="384">
        <v>3</v>
      </c>
      <c r="H84" s="384">
        <v>12</v>
      </c>
      <c r="I84" s="384">
        <v>8</v>
      </c>
      <c r="J84" s="384">
        <v>0</v>
      </c>
      <c r="K84" s="494">
        <f>SUM(D84:J84)</f>
        <v>94</v>
      </c>
      <c r="L84" s="384">
        <v>30</v>
      </c>
      <c r="M84" s="384">
        <v>35</v>
      </c>
      <c r="N84" s="384">
        <v>0</v>
      </c>
      <c r="O84" s="384">
        <v>3</v>
      </c>
      <c r="P84" s="384">
        <v>22</v>
      </c>
      <c r="Q84" s="384">
        <v>0</v>
      </c>
      <c r="R84" s="93">
        <f>SUM(L84:Q84)</f>
        <v>90</v>
      </c>
      <c r="S84" s="346">
        <v>37</v>
      </c>
      <c r="T84" s="346">
        <v>6</v>
      </c>
      <c r="U84" s="346">
        <v>2</v>
      </c>
      <c r="V84" s="346">
        <v>8</v>
      </c>
      <c r="W84" s="346">
        <v>1</v>
      </c>
      <c r="X84" s="346">
        <v>6</v>
      </c>
      <c r="Y84" s="93">
        <f>SUM(S84:X84)</f>
        <v>60</v>
      </c>
      <c r="Z84" s="477">
        <v>33</v>
      </c>
      <c r="AA84" s="477">
        <v>4</v>
      </c>
      <c r="AB84" s="477">
        <v>0</v>
      </c>
      <c r="AC84" s="477">
        <v>13</v>
      </c>
      <c r="AD84" s="477">
        <f>0+3</f>
        <v>3</v>
      </c>
      <c r="AE84" s="33">
        <v>10</v>
      </c>
      <c r="AF84" s="93">
        <f>SUM(Z84:AE84)</f>
        <v>63</v>
      </c>
    </row>
    <row r="85" spans="2:32" ht="15.75" customHeight="1">
      <c r="B85" s="9"/>
      <c r="C85" s="10" t="s">
        <v>106</v>
      </c>
      <c r="D85" s="384">
        <v>43</v>
      </c>
      <c r="E85" s="384">
        <v>20</v>
      </c>
      <c r="F85" s="384">
        <v>102</v>
      </c>
      <c r="G85" s="384">
        <v>75</v>
      </c>
      <c r="H85" s="384">
        <v>5</v>
      </c>
      <c r="I85" s="384">
        <v>20</v>
      </c>
      <c r="J85" s="384">
        <v>0</v>
      </c>
      <c r="K85" s="494">
        <f>SUM(D85:J85)</f>
        <v>265</v>
      </c>
      <c r="L85" s="384">
        <v>40</v>
      </c>
      <c r="M85" s="384">
        <v>19</v>
      </c>
      <c r="N85" s="384">
        <v>89</v>
      </c>
      <c r="O85" s="384">
        <v>9</v>
      </c>
      <c r="P85" s="384">
        <v>25</v>
      </c>
      <c r="Q85" s="384">
        <v>0</v>
      </c>
      <c r="R85" s="93">
        <f>SUM(L85:Q85)</f>
        <v>182</v>
      </c>
      <c r="S85" s="346">
        <v>42</v>
      </c>
      <c r="T85" s="346">
        <v>29</v>
      </c>
      <c r="U85" s="346">
        <v>39</v>
      </c>
      <c r="V85" s="346">
        <v>28</v>
      </c>
      <c r="W85" s="346">
        <v>9</v>
      </c>
      <c r="X85" s="346">
        <v>0</v>
      </c>
      <c r="Y85" s="93">
        <f>SUM(S85:X85)</f>
        <v>147</v>
      </c>
      <c r="Z85" s="477">
        <v>48</v>
      </c>
      <c r="AA85" s="477">
        <v>27</v>
      </c>
      <c r="AB85" s="477">
        <v>22</v>
      </c>
      <c r="AC85" s="477">
        <v>28</v>
      </c>
      <c r="AD85" s="477">
        <f>4+2</f>
        <v>6</v>
      </c>
      <c r="AE85" s="33">
        <v>0</v>
      </c>
      <c r="AF85" s="93">
        <f>SUM(Z85:AE85)</f>
        <v>131</v>
      </c>
    </row>
    <row r="86" spans="2:32" ht="15.75" customHeight="1">
      <c r="B86" s="9"/>
      <c r="C86" s="10" t="s">
        <v>107</v>
      </c>
      <c r="D86" s="384">
        <v>2</v>
      </c>
      <c r="E86" s="384">
        <v>0</v>
      </c>
      <c r="F86" s="384">
        <v>8</v>
      </c>
      <c r="G86" s="384">
        <v>0</v>
      </c>
      <c r="H86" s="384">
        <v>0</v>
      </c>
      <c r="I86" s="384">
        <v>2</v>
      </c>
      <c r="J86" s="384">
        <v>1</v>
      </c>
      <c r="K86" s="494">
        <f>SUM(D86:J86)</f>
        <v>13</v>
      </c>
      <c r="L86" s="384">
        <f>+L50</f>
        <v>2</v>
      </c>
      <c r="M86" s="384">
        <v>1</v>
      </c>
      <c r="N86" s="384">
        <f>+N50</f>
        <v>8</v>
      </c>
      <c r="O86" s="384">
        <f>+O50</f>
        <v>0</v>
      </c>
      <c r="P86" s="384">
        <f>+P50</f>
        <v>6</v>
      </c>
      <c r="Q86" s="384">
        <f>+Q50</f>
        <v>1</v>
      </c>
      <c r="R86" s="93">
        <f>SUM(L86:Q86)</f>
        <v>18</v>
      </c>
      <c r="S86" s="70">
        <v>2</v>
      </c>
      <c r="T86" s="70">
        <v>0</v>
      </c>
      <c r="U86" s="70">
        <v>7</v>
      </c>
      <c r="V86" s="70">
        <v>4</v>
      </c>
      <c r="W86" s="70">
        <v>1</v>
      </c>
      <c r="X86" s="346">
        <v>1</v>
      </c>
      <c r="Y86" s="93">
        <f>SUM(S86:X86)</f>
        <v>15</v>
      </c>
      <c r="Z86" s="477">
        <v>0</v>
      </c>
      <c r="AA86" s="477">
        <v>0</v>
      </c>
      <c r="AB86" s="477">
        <v>2</v>
      </c>
      <c r="AC86" s="477">
        <v>4</v>
      </c>
      <c r="AD86" s="477">
        <v>0</v>
      </c>
      <c r="AE86" s="33">
        <v>7</v>
      </c>
      <c r="AF86" s="93">
        <f>SUM(Z86:AE86)</f>
        <v>13</v>
      </c>
    </row>
    <row r="87" spans="2:32" ht="15.75" customHeight="1">
      <c r="B87" s="9"/>
      <c r="C87" s="10" t="s">
        <v>130</v>
      </c>
      <c r="D87" s="351">
        <f>(D83+D84)/D82</f>
        <v>0.56310679611650483</v>
      </c>
      <c r="E87" s="351">
        <f t="shared" ref="E87:J87" si="40">(E83+E84)/E82</f>
        <v>0.69696969696969702</v>
      </c>
      <c r="F87" s="351">
        <f t="shared" si="40"/>
        <v>5.1724137931034482E-2</v>
      </c>
      <c r="G87" s="351">
        <f>(G83+G84)/G82</f>
        <v>0.30555555555555558</v>
      </c>
      <c r="H87" s="351">
        <f t="shared" si="40"/>
        <v>0.70588235294117652</v>
      </c>
      <c r="I87" s="351">
        <f t="shared" si="40"/>
        <v>0.59259259259259256</v>
      </c>
      <c r="J87" s="351">
        <f t="shared" si="40"/>
        <v>0.91666666666666663</v>
      </c>
      <c r="K87" s="519">
        <f>(K83+K84)/K82</f>
        <v>0.41596638655462187</v>
      </c>
      <c r="L87" s="351">
        <f t="shared" ref="L87:AF87" si="41">(L83+L84)/L82</f>
        <v>0.5670103092783505</v>
      </c>
      <c r="M87" s="351">
        <f t="shared" si="41"/>
        <v>0.69230769230769229</v>
      </c>
      <c r="N87" s="351">
        <f t="shared" si="41"/>
        <v>2.0202020202020204E-2</v>
      </c>
      <c r="O87" s="351">
        <f t="shared" si="41"/>
        <v>0.35714285714285715</v>
      </c>
      <c r="P87" s="351">
        <f t="shared" si="41"/>
        <v>0.41509433962264153</v>
      </c>
      <c r="Q87" s="351">
        <f t="shared" si="41"/>
        <v>0.91666666666666663</v>
      </c>
      <c r="R87" s="91">
        <f t="shared" si="41"/>
        <v>0.41176470588235292</v>
      </c>
      <c r="S87" s="92">
        <f t="shared" si="41"/>
        <v>0.54639175257731953</v>
      </c>
      <c r="T87" s="92">
        <f t="shared" si="41"/>
        <v>0.59154929577464788</v>
      </c>
      <c r="U87" s="92">
        <f t="shared" si="41"/>
        <v>4.1666666666666664E-2</v>
      </c>
      <c r="V87" s="92">
        <f t="shared" si="41"/>
        <v>0.39622641509433965</v>
      </c>
      <c r="W87" s="92">
        <f t="shared" si="41"/>
        <v>0.47368421052631576</v>
      </c>
      <c r="X87" s="92">
        <f t="shared" si="41"/>
        <v>0.91666666666666663</v>
      </c>
      <c r="Y87" s="91">
        <f t="shared" si="41"/>
        <v>0.46</v>
      </c>
      <c r="Z87" s="92">
        <f t="shared" si="41"/>
        <v>0.50515463917525771</v>
      </c>
      <c r="AA87" s="92">
        <f t="shared" si="41"/>
        <v>0.578125</v>
      </c>
      <c r="AB87" s="92">
        <f t="shared" si="41"/>
        <v>0</v>
      </c>
      <c r="AC87" s="92">
        <f t="shared" si="41"/>
        <v>0.34693877551020408</v>
      </c>
      <c r="AD87" s="92">
        <f t="shared" si="41"/>
        <v>0.5</v>
      </c>
      <c r="AE87" s="92">
        <f t="shared" si="41"/>
        <v>0.58823529411764708</v>
      </c>
      <c r="AF87" s="91">
        <f t="shared" si="41"/>
        <v>0.45247148288973382</v>
      </c>
    </row>
    <row r="88" spans="2:32" ht="15.75" customHeight="1">
      <c r="B88" s="9"/>
      <c r="C88" s="10" t="s">
        <v>131</v>
      </c>
      <c r="D88" s="351">
        <f>D85/D82</f>
        <v>0.41747572815533979</v>
      </c>
      <c r="E88" s="351">
        <f t="shared" ref="E88:K88" si="42">E85/E82</f>
        <v>0.30303030303030304</v>
      </c>
      <c r="F88" s="351">
        <f t="shared" si="42"/>
        <v>0.87931034482758619</v>
      </c>
      <c r="G88" s="351">
        <f>G85/G82</f>
        <v>0.69444444444444442</v>
      </c>
      <c r="H88" s="351">
        <f t="shared" si="42"/>
        <v>0.29411764705882354</v>
      </c>
      <c r="I88" s="351">
        <f t="shared" si="42"/>
        <v>0.37037037037037035</v>
      </c>
      <c r="J88" s="351">
        <f t="shared" si="42"/>
        <v>0</v>
      </c>
      <c r="K88" s="519">
        <f t="shared" si="42"/>
        <v>0.55672268907563027</v>
      </c>
      <c r="L88" s="351">
        <f t="shared" ref="L88:AF88" si="43">L85/L82</f>
        <v>0.41237113402061853</v>
      </c>
      <c r="M88" s="351">
        <f t="shared" si="43"/>
        <v>0.29230769230769232</v>
      </c>
      <c r="N88" s="351">
        <f t="shared" si="43"/>
        <v>0.89898989898989901</v>
      </c>
      <c r="O88" s="351">
        <f t="shared" si="43"/>
        <v>0.6428571428571429</v>
      </c>
      <c r="P88" s="351">
        <f t="shared" si="43"/>
        <v>0.47169811320754718</v>
      </c>
      <c r="Q88" s="351">
        <f t="shared" si="43"/>
        <v>0</v>
      </c>
      <c r="R88" s="91">
        <f t="shared" si="43"/>
        <v>0.53529411764705881</v>
      </c>
      <c r="S88" s="92">
        <f t="shared" si="43"/>
        <v>0.4329896907216495</v>
      </c>
      <c r="T88" s="92">
        <f t="shared" si="43"/>
        <v>0.40845070422535212</v>
      </c>
      <c r="U88" s="92">
        <f t="shared" si="43"/>
        <v>0.8125</v>
      </c>
      <c r="V88" s="92">
        <f t="shared" si="43"/>
        <v>0.52830188679245282</v>
      </c>
      <c r="W88" s="92">
        <f t="shared" si="43"/>
        <v>0.47368421052631576</v>
      </c>
      <c r="X88" s="92">
        <f t="shared" si="43"/>
        <v>0</v>
      </c>
      <c r="Y88" s="91">
        <f t="shared" si="43"/>
        <v>0.49</v>
      </c>
      <c r="Z88" s="92">
        <f t="shared" si="43"/>
        <v>0.49484536082474229</v>
      </c>
      <c r="AA88" s="92">
        <f t="shared" si="43"/>
        <v>0.421875</v>
      </c>
      <c r="AB88" s="92">
        <f t="shared" si="43"/>
        <v>0.91666666666666663</v>
      </c>
      <c r="AC88" s="92">
        <f t="shared" si="43"/>
        <v>0.5714285714285714</v>
      </c>
      <c r="AD88" s="92">
        <f t="shared" si="43"/>
        <v>0.5</v>
      </c>
      <c r="AE88" s="92">
        <f t="shared" si="43"/>
        <v>0</v>
      </c>
      <c r="AF88" s="91">
        <f t="shared" si="43"/>
        <v>0.49809885931558934</v>
      </c>
    </row>
    <row r="89" spans="2:32" ht="15.75" customHeight="1">
      <c r="B89" s="9"/>
      <c r="C89" s="10" t="s">
        <v>132</v>
      </c>
      <c r="D89" s="351">
        <f>D86/D82</f>
        <v>1.9417475728155338E-2</v>
      </c>
      <c r="E89" s="351">
        <f t="shared" ref="E89:K89" si="44">E86/E82</f>
        <v>0</v>
      </c>
      <c r="F89" s="351">
        <f t="shared" si="44"/>
        <v>6.8965517241379309E-2</v>
      </c>
      <c r="G89" s="351">
        <f>G86/G82</f>
        <v>0</v>
      </c>
      <c r="H89" s="351">
        <f t="shared" si="44"/>
        <v>0</v>
      </c>
      <c r="I89" s="351">
        <f t="shared" si="44"/>
        <v>3.7037037037037035E-2</v>
      </c>
      <c r="J89" s="351">
        <f t="shared" si="44"/>
        <v>8.3333333333333329E-2</v>
      </c>
      <c r="K89" s="519">
        <f t="shared" si="44"/>
        <v>2.7310924369747899E-2</v>
      </c>
      <c r="L89" s="351">
        <f t="shared" ref="L89:AF89" si="45">L86/L82</f>
        <v>2.0618556701030927E-2</v>
      </c>
      <c r="M89" s="351">
        <f t="shared" si="45"/>
        <v>1.5384615384615385E-2</v>
      </c>
      <c r="N89" s="351">
        <f t="shared" si="45"/>
        <v>8.0808080808080815E-2</v>
      </c>
      <c r="O89" s="351">
        <f t="shared" si="45"/>
        <v>0</v>
      </c>
      <c r="P89" s="351">
        <f t="shared" si="45"/>
        <v>0.11320754716981132</v>
      </c>
      <c r="Q89" s="351">
        <f t="shared" si="45"/>
        <v>8.3333333333333329E-2</v>
      </c>
      <c r="R89" s="91">
        <f t="shared" si="45"/>
        <v>5.2941176470588235E-2</v>
      </c>
      <c r="S89" s="92">
        <f t="shared" si="45"/>
        <v>2.0618556701030927E-2</v>
      </c>
      <c r="T89" s="92">
        <f t="shared" si="45"/>
        <v>0</v>
      </c>
      <c r="U89" s="92">
        <f t="shared" si="45"/>
        <v>0.14583333333333334</v>
      </c>
      <c r="V89" s="92">
        <f t="shared" si="45"/>
        <v>7.5471698113207544E-2</v>
      </c>
      <c r="W89" s="92">
        <f t="shared" si="45"/>
        <v>5.2631578947368418E-2</v>
      </c>
      <c r="X89" s="92">
        <f t="shared" si="45"/>
        <v>8.3333333333333329E-2</v>
      </c>
      <c r="Y89" s="91">
        <f t="shared" si="45"/>
        <v>0.05</v>
      </c>
      <c r="Z89" s="92">
        <f t="shared" si="45"/>
        <v>0</v>
      </c>
      <c r="AA89" s="92">
        <f t="shared" si="45"/>
        <v>0</v>
      </c>
      <c r="AB89" s="92">
        <f t="shared" si="45"/>
        <v>8.3333333333333329E-2</v>
      </c>
      <c r="AC89" s="92">
        <f t="shared" si="45"/>
        <v>8.1632653061224483E-2</v>
      </c>
      <c r="AD89" s="92">
        <f t="shared" si="45"/>
        <v>0</v>
      </c>
      <c r="AE89" s="92">
        <f t="shared" si="45"/>
        <v>0.41176470588235292</v>
      </c>
      <c r="AF89" s="91">
        <f t="shared" si="45"/>
        <v>4.9429657794676805E-2</v>
      </c>
    </row>
    <row r="90" spans="2:32" ht="15.75" customHeight="1">
      <c r="B90" s="9"/>
      <c r="C90" s="10" t="s">
        <v>133</v>
      </c>
      <c r="D90" s="351">
        <f>D81/D82</f>
        <v>0.12621359223300971</v>
      </c>
      <c r="E90" s="351">
        <f t="shared" ref="E90:J90" si="46">E81/E82</f>
        <v>0.15151515151515152</v>
      </c>
      <c r="F90" s="351">
        <f t="shared" si="46"/>
        <v>0.13793103448275862</v>
      </c>
      <c r="G90" s="351">
        <f>G81/G82</f>
        <v>0.12962962962962962</v>
      </c>
      <c r="H90" s="351">
        <f t="shared" si="46"/>
        <v>0.23529411764705882</v>
      </c>
      <c r="I90" s="351">
        <f t="shared" si="46"/>
        <v>0.35185185185185186</v>
      </c>
      <c r="J90" s="351">
        <f t="shared" si="46"/>
        <v>0.5</v>
      </c>
      <c r="K90" s="523">
        <f>K81/K82</f>
        <v>0.17226890756302521</v>
      </c>
      <c r="L90" s="351">
        <f t="shared" ref="L90:AF90" si="47">L81/L82</f>
        <v>0.14432989690721648</v>
      </c>
      <c r="M90" s="351">
        <f t="shared" si="47"/>
        <v>0.12307692307692308</v>
      </c>
      <c r="N90" s="351">
        <f t="shared" si="47"/>
        <v>0.1111111111111111</v>
      </c>
      <c r="O90" s="351">
        <f t="shared" si="47"/>
        <v>0.14285714285714285</v>
      </c>
      <c r="P90" s="351">
        <f t="shared" si="47"/>
        <v>0.30188679245283018</v>
      </c>
      <c r="Q90" s="351">
        <f t="shared" si="47"/>
        <v>0.41666666666666669</v>
      </c>
      <c r="R90" s="461">
        <f t="shared" si="47"/>
        <v>0.16470588235294117</v>
      </c>
      <c r="S90" s="92">
        <f t="shared" si="47"/>
        <v>0.14432989690721648</v>
      </c>
      <c r="T90" s="92">
        <f t="shared" si="47"/>
        <v>0.15492957746478872</v>
      </c>
      <c r="U90" s="92">
        <f t="shared" si="47"/>
        <v>0.16666666666666666</v>
      </c>
      <c r="V90" s="92">
        <f t="shared" si="47"/>
        <v>0.28301886792452829</v>
      </c>
      <c r="W90" s="92">
        <f t="shared" si="47"/>
        <v>0.26315789473684209</v>
      </c>
      <c r="X90" s="92">
        <f t="shared" si="47"/>
        <v>0.41666666666666669</v>
      </c>
      <c r="Y90" s="461">
        <f t="shared" si="47"/>
        <v>0.19333333333333333</v>
      </c>
      <c r="Z90" s="92">
        <f t="shared" si="47"/>
        <v>0.12371134020618557</v>
      </c>
      <c r="AA90" s="92">
        <f t="shared" si="47"/>
        <v>0.15625</v>
      </c>
      <c r="AB90" s="92">
        <f t="shared" si="47"/>
        <v>0.20833333333333334</v>
      </c>
      <c r="AC90" s="92">
        <f t="shared" si="47"/>
        <v>0.2857142857142857</v>
      </c>
      <c r="AD90" s="92">
        <f t="shared" si="47"/>
        <v>0.25</v>
      </c>
      <c r="AE90" s="92">
        <f t="shared" si="47"/>
        <v>0.29411764705882354</v>
      </c>
      <c r="AF90" s="461">
        <f t="shared" si="47"/>
        <v>0.18631178707224336</v>
      </c>
    </row>
    <row r="91" spans="2:32" ht="15.75" customHeight="1">
      <c r="B91" s="9"/>
      <c r="C91" s="10" t="s">
        <v>134</v>
      </c>
      <c r="D91" s="351">
        <v>0</v>
      </c>
      <c r="E91" s="351">
        <v>0</v>
      </c>
      <c r="F91" s="351">
        <v>0</v>
      </c>
      <c r="G91" s="351">
        <v>0</v>
      </c>
      <c r="H91" s="351">
        <v>0</v>
      </c>
      <c r="I91" s="351">
        <v>0</v>
      </c>
      <c r="J91" s="351">
        <v>0</v>
      </c>
      <c r="K91" s="524">
        <v>0</v>
      </c>
      <c r="L91" s="384">
        <v>0</v>
      </c>
      <c r="M91" s="384">
        <v>0</v>
      </c>
      <c r="N91" s="384">
        <v>0</v>
      </c>
      <c r="O91" s="384">
        <v>0</v>
      </c>
      <c r="P91" s="384">
        <v>0</v>
      </c>
      <c r="Q91" s="384">
        <v>0</v>
      </c>
      <c r="R91" s="461">
        <f>SUM(L91:Q91)</f>
        <v>0</v>
      </c>
      <c r="S91" s="461">
        <v>0</v>
      </c>
      <c r="T91" s="461">
        <v>0</v>
      </c>
      <c r="U91" s="461">
        <v>0</v>
      </c>
      <c r="V91" s="461">
        <v>0</v>
      </c>
      <c r="W91" s="461">
        <v>0</v>
      </c>
      <c r="X91" s="461">
        <v>0</v>
      </c>
      <c r="Y91" s="461">
        <f>SUM(S91:X91)</f>
        <v>0</v>
      </c>
      <c r="Z91" s="461">
        <v>0</v>
      </c>
      <c r="AA91" s="461">
        <v>0</v>
      </c>
      <c r="AB91" s="461">
        <v>0</v>
      </c>
      <c r="AC91" s="461">
        <v>0</v>
      </c>
      <c r="AD91" s="461">
        <v>0</v>
      </c>
      <c r="AE91" s="461">
        <v>0</v>
      </c>
      <c r="AF91" s="461">
        <f>SUM(Z91:AE91)</f>
        <v>0</v>
      </c>
    </row>
    <row r="92" spans="2:32" ht="15.75" customHeight="1">
      <c r="B92" s="23" t="s">
        <v>598</v>
      </c>
      <c r="C92" s="23"/>
      <c r="D92" s="59"/>
      <c r="E92" s="59"/>
      <c r="F92" s="59"/>
      <c r="G92" s="59"/>
      <c r="H92" s="384"/>
      <c r="I92" s="59"/>
      <c r="J92" s="59"/>
      <c r="K92" s="479"/>
      <c r="L92" s="59"/>
      <c r="M92" s="59"/>
      <c r="N92" s="59"/>
      <c r="O92" s="59"/>
      <c r="P92" s="59"/>
      <c r="Q92" s="59"/>
      <c r="R92" s="479"/>
      <c r="S92" s="59"/>
      <c r="T92" s="59"/>
      <c r="U92" s="59"/>
      <c r="V92" s="59"/>
      <c r="W92" s="59"/>
      <c r="X92" s="479"/>
      <c r="Y92" s="479"/>
      <c r="Z92" s="59"/>
      <c r="AA92" s="59"/>
      <c r="AB92" s="59"/>
      <c r="AC92" s="59"/>
      <c r="AD92" s="59"/>
      <c r="AE92" s="479"/>
      <c r="AF92" s="479"/>
    </row>
    <row r="93" spans="2:32" ht="15.75" customHeight="1" thickBot="1">
      <c r="B93" s="285"/>
      <c r="C93" s="286"/>
      <c r="D93" s="306"/>
      <c r="E93" s="306"/>
      <c r="F93" s="306"/>
      <c r="G93" s="306"/>
      <c r="H93" s="306"/>
      <c r="I93" s="306"/>
      <c r="J93" s="306"/>
      <c r="K93" s="313"/>
      <c r="L93" s="306"/>
      <c r="M93" s="306"/>
      <c r="N93" s="306"/>
      <c r="O93" s="306"/>
      <c r="P93" s="306"/>
      <c r="Q93" s="306"/>
      <c r="R93" s="313"/>
      <c r="S93" s="480"/>
      <c r="T93" s="313"/>
      <c r="U93" s="313"/>
      <c r="V93" s="313"/>
      <c r="W93" s="313"/>
      <c r="X93" s="313"/>
      <c r="Y93" s="313"/>
      <c r="Z93" s="313"/>
      <c r="AA93" s="313"/>
      <c r="AB93" s="313"/>
      <c r="AC93" s="313"/>
      <c r="AD93" s="313"/>
      <c r="AE93" s="313"/>
      <c r="AF93" s="313"/>
    </row>
    <row r="94" spans="2:32" ht="15.75" customHeight="1">
      <c r="B94" s="7" t="s">
        <v>135</v>
      </c>
      <c r="C94" s="8"/>
      <c r="D94" s="441"/>
      <c r="E94" s="441"/>
      <c r="F94" s="441"/>
      <c r="G94" s="441"/>
      <c r="H94" s="441"/>
      <c r="I94" s="441"/>
      <c r="J94" s="441"/>
      <c r="K94" s="59"/>
      <c r="L94" s="441"/>
      <c r="M94" s="441"/>
      <c r="N94" s="441"/>
      <c r="O94" s="441"/>
      <c r="P94" s="441"/>
      <c r="Q94" s="441"/>
      <c r="R94" s="59"/>
      <c r="S94" s="59"/>
      <c r="T94" s="59"/>
      <c r="U94" s="59"/>
      <c r="V94" s="59"/>
      <c r="W94" s="59"/>
      <c r="X94" s="59"/>
      <c r="Y94" s="59"/>
      <c r="Z94" s="59"/>
      <c r="AA94" s="59"/>
      <c r="AB94" s="59"/>
      <c r="AC94" s="59"/>
      <c r="AD94" s="59"/>
      <c r="AE94" s="59"/>
      <c r="AF94" s="59"/>
    </row>
    <row r="95" spans="2:32" ht="15.75" customHeight="1">
      <c r="B95" s="9"/>
      <c r="C95" s="10" t="s">
        <v>136</v>
      </c>
      <c r="D95" s="384">
        <v>81</v>
      </c>
      <c r="E95" s="384">
        <v>49</v>
      </c>
      <c r="F95" s="385">
        <f>243+1</f>
        <v>244</v>
      </c>
      <c r="G95" s="385">
        <v>190</v>
      </c>
      <c r="H95" s="384">
        <v>19</v>
      </c>
      <c r="I95" s="384">
        <v>11</v>
      </c>
      <c r="J95" s="384">
        <v>0</v>
      </c>
      <c r="K95" s="494">
        <f>SUM(D95:J95)</f>
        <v>594</v>
      </c>
      <c r="L95" s="384">
        <f>65+1</f>
        <v>66</v>
      </c>
      <c r="M95" s="384">
        <v>49</v>
      </c>
      <c r="N95" s="385">
        <f>167+3</f>
        <v>170</v>
      </c>
      <c r="O95" s="384">
        <v>21</v>
      </c>
      <c r="P95" s="384">
        <f>7+1</f>
        <v>8</v>
      </c>
      <c r="Q95" s="384">
        <v>0</v>
      </c>
      <c r="R95" s="93">
        <f>SUM(L95:Q95)</f>
        <v>314</v>
      </c>
      <c r="S95" s="33">
        <v>71</v>
      </c>
      <c r="T95" s="481">
        <v>45</v>
      </c>
      <c r="U95" s="33">
        <v>62</v>
      </c>
      <c r="V95" s="33">
        <v>6</v>
      </c>
      <c r="W95" s="33">
        <v>40</v>
      </c>
      <c r="X95" s="33">
        <v>2</v>
      </c>
      <c r="Y95" s="482">
        <f>SUM(S95:X95)</f>
        <v>226</v>
      </c>
      <c r="Z95" s="33">
        <v>64</v>
      </c>
      <c r="AA95" s="33">
        <f>67+3</f>
        <v>70</v>
      </c>
      <c r="AB95" s="33">
        <v>13</v>
      </c>
      <c r="AC95" s="33">
        <v>15</v>
      </c>
      <c r="AD95" s="33">
        <f>10+18</f>
        <v>28</v>
      </c>
      <c r="AE95" s="33">
        <v>3</v>
      </c>
      <c r="AF95" s="93">
        <f>SUM(Z95:AE95)</f>
        <v>193</v>
      </c>
    </row>
    <row r="96" spans="2:32" ht="15.75" customHeight="1">
      <c r="B96" s="9"/>
      <c r="C96" s="10" t="s">
        <v>137</v>
      </c>
      <c r="D96" s="384">
        <v>18</v>
      </c>
      <c r="E96" s="384">
        <v>3</v>
      </c>
      <c r="F96" s="385">
        <v>49</v>
      </c>
      <c r="G96" s="385">
        <v>23</v>
      </c>
      <c r="H96" s="384">
        <v>5</v>
      </c>
      <c r="I96" s="384">
        <v>6</v>
      </c>
      <c r="J96" s="384">
        <v>4</v>
      </c>
      <c r="K96" s="494">
        <f>SUM(D96:J96)</f>
        <v>108</v>
      </c>
      <c r="L96" s="384">
        <v>16</v>
      </c>
      <c r="M96" s="384">
        <v>6</v>
      </c>
      <c r="N96" s="385">
        <v>26</v>
      </c>
      <c r="O96" s="384">
        <v>3</v>
      </c>
      <c r="P96" s="384">
        <v>5</v>
      </c>
      <c r="Q96" s="384">
        <v>5</v>
      </c>
      <c r="R96" s="93">
        <f>SUM(L96:Q96)</f>
        <v>61</v>
      </c>
      <c r="S96" s="33">
        <v>20</v>
      </c>
      <c r="T96" s="481">
        <v>5</v>
      </c>
      <c r="U96" s="33">
        <v>8</v>
      </c>
      <c r="V96" s="33">
        <v>10</v>
      </c>
      <c r="W96" s="33">
        <v>4</v>
      </c>
      <c r="X96" s="33">
        <v>3</v>
      </c>
      <c r="Y96" s="482">
        <f>SUM(S96:X96)</f>
        <v>50</v>
      </c>
      <c r="Z96" s="33">
        <v>24</v>
      </c>
      <c r="AA96" s="33">
        <v>6</v>
      </c>
      <c r="AB96" s="33">
        <v>4</v>
      </c>
      <c r="AC96" s="33">
        <v>12</v>
      </c>
      <c r="AD96" s="33">
        <f>0+3</f>
        <v>3</v>
      </c>
      <c r="AE96" s="33">
        <v>4</v>
      </c>
      <c r="AF96" s="93">
        <f>SUM(Z96:AE96)</f>
        <v>53</v>
      </c>
    </row>
    <row r="97" spans="2:32" ht="15.75" customHeight="1">
      <c r="B97" s="13"/>
      <c r="C97" s="14" t="s">
        <v>138</v>
      </c>
      <c r="D97" s="343">
        <f t="shared" ref="D97:K97" si="48">SUM(D95:D96)</f>
        <v>99</v>
      </c>
      <c r="E97" s="343">
        <f t="shared" si="48"/>
        <v>52</v>
      </c>
      <c r="F97" s="344">
        <f t="shared" si="48"/>
        <v>293</v>
      </c>
      <c r="G97" s="344">
        <f>SUM(G95:G96)</f>
        <v>213</v>
      </c>
      <c r="H97" s="343">
        <f t="shared" si="48"/>
        <v>24</v>
      </c>
      <c r="I97" s="343">
        <f t="shared" si="48"/>
        <v>17</v>
      </c>
      <c r="J97" s="343">
        <f t="shared" si="48"/>
        <v>4</v>
      </c>
      <c r="K97" s="522">
        <f t="shared" si="48"/>
        <v>702</v>
      </c>
      <c r="L97" s="343">
        <f t="shared" ref="L97:AF97" si="49">SUM(L95:L96)</f>
        <v>82</v>
      </c>
      <c r="M97" s="343">
        <f t="shared" si="49"/>
        <v>55</v>
      </c>
      <c r="N97" s="344">
        <f t="shared" si="49"/>
        <v>196</v>
      </c>
      <c r="O97" s="343">
        <f t="shared" si="49"/>
        <v>24</v>
      </c>
      <c r="P97" s="343">
        <f t="shared" si="49"/>
        <v>13</v>
      </c>
      <c r="Q97" s="343">
        <f t="shared" si="49"/>
        <v>5</v>
      </c>
      <c r="R97" s="460">
        <f t="shared" si="49"/>
        <v>375</v>
      </c>
      <c r="S97" s="54">
        <f t="shared" si="49"/>
        <v>91</v>
      </c>
      <c r="T97" s="54">
        <f t="shared" si="49"/>
        <v>50</v>
      </c>
      <c r="U97" s="54">
        <f t="shared" si="49"/>
        <v>70</v>
      </c>
      <c r="V97" s="54">
        <f t="shared" si="49"/>
        <v>16</v>
      </c>
      <c r="W97" s="54">
        <f t="shared" si="49"/>
        <v>44</v>
      </c>
      <c r="X97" s="54">
        <f t="shared" si="49"/>
        <v>5</v>
      </c>
      <c r="Y97" s="460">
        <f t="shared" si="49"/>
        <v>276</v>
      </c>
      <c r="Z97" s="54">
        <f t="shared" si="49"/>
        <v>88</v>
      </c>
      <c r="AA97" s="54">
        <f t="shared" si="49"/>
        <v>76</v>
      </c>
      <c r="AB97" s="54">
        <f t="shared" si="49"/>
        <v>17</v>
      </c>
      <c r="AC97" s="54">
        <f t="shared" si="49"/>
        <v>27</v>
      </c>
      <c r="AD97" s="54">
        <f t="shared" si="49"/>
        <v>31</v>
      </c>
      <c r="AE97" s="54">
        <f t="shared" si="49"/>
        <v>7</v>
      </c>
      <c r="AF97" s="460">
        <f t="shared" si="49"/>
        <v>246</v>
      </c>
    </row>
    <row r="98" spans="2:32" ht="15.75" customHeight="1">
      <c r="B98" s="9"/>
      <c r="C98" s="10" t="s">
        <v>139</v>
      </c>
      <c r="D98" s="384">
        <v>54</v>
      </c>
      <c r="E98" s="384">
        <v>12</v>
      </c>
      <c r="F98" s="385">
        <v>89</v>
      </c>
      <c r="G98" s="385">
        <v>86</v>
      </c>
      <c r="H98" s="384">
        <v>10</v>
      </c>
      <c r="I98" s="384">
        <v>8</v>
      </c>
      <c r="J98" s="384">
        <v>2</v>
      </c>
      <c r="K98" s="494">
        <f t="shared" ref="K98:K104" si="50">SUM(D98:J98)</f>
        <v>261</v>
      </c>
      <c r="L98" s="384">
        <v>32</v>
      </c>
      <c r="M98" s="384">
        <v>19</v>
      </c>
      <c r="N98" s="385">
        <v>57</v>
      </c>
      <c r="O98" s="384">
        <v>11</v>
      </c>
      <c r="P98" s="384">
        <v>2</v>
      </c>
      <c r="Q98" s="384">
        <v>1</v>
      </c>
      <c r="R98" s="93">
        <f t="shared" ref="R98:R104" si="51">SUM(L98:Q98)</f>
        <v>122</v>
      </c>
      <c r="S98" s="346">
        <v>46</v>
      </c>
      <c r="T98" s="346">
        <v>26</v>
      </c>
      <c r="U98" s="346">
        <v>13</v>
      </c>
      <c r="V98" s="346">
        <v>4</v>
      </c>
      <c r="W98" s="346">
        <v>17</v>
      </c>
      <c r="X98" s="33">
        <v>2</v>
      </c>
      <c r="Y98" s="93">
        <f t="shared" ref="Y98:Y104" si="52">SUM(S98:X98)</f>
        <v>108</v>
      </c>
      <c r="Z98" s="33">
        <v>31</v>
      </c>
      <c r="AA98" s="33">
        <v>19</v>
      </c>
      <c r="AB98" s="33">
        <v>3</v>
      </c>
      <c r="AC98" s="33">
        <v>6</v>
      </c>
      <c r="AD98" s="33">
        <v>6</v>
      </c>
      <c r="AE98" s="33">
        <v>2</v>
      </c>
      <c r="AF98" s="93">
        <f t="shared" ref="AF98:AF104" si="53">SUM(Z98:AE98)</f>
        <v>67</v>
      </c>
    </row>
    <row r="99" spans="2:32" ht="15.75" customHeight="1">
      <c r="B99" s="9"/>
      <c r="C99" s="10" t="s">
        <v>140</v>
      </c>
      <c r="D99" s="384">
        <v>43</v>
      </c>
      <c r="E99" s="384">
        <v>35</v>
      </c>
      <c r="F99" s="385">
        <v>190</v>
      </c>
      <c r="G99" s="385">
        <v>120</v>
      </c>
      <c r="H99" s="384">
        <v>13</v>
      </c>
      <c r="I99" s="384">
        <v>8</v>
      </c>
      <c r="J99" s="384">
        <v>1</v>
      </c>
      <c r="K99" s="494">
        <f t="shared" si="50"/>
        <v>410</v>
      </c>
      <c r="L99" s="384">
        <v>47</v>
      </c>
      <c r="M99" s="384">
        <v>33</v>
      </c>
      <c r="N99" s="385">
        <f>115+1</f>
        <v>116</v>
      </c>
      <c r="O99" s="384">
        <v>13</v>
      </c>
      <c r="P99" s="384">
        <v>9</v>
      </c>
      <c r="Q99" s="384">
        <v>4</v>
      </c>
      <c r="R99" s="93">
        <f t="shared" si="51"/>
        <v>222</v>
      </c>
      <c r="S99" s="346">
        <v>44</v>
      </c>
      <c r="T99" s="346">
        <v>24</v>
      </c>
      <c r="U99" s="346">
        <v>54</v>
      </c>
      <c r="V99" s="346">
        <v>10</v>
      </c>
      <c r="W99" s="346">
        <v>24</v>
      </c>
      <c r="X99" s="33">
        <v>3</v>
      </c>
      <c r="Y99" s="93">
        <f t="shared" si="52"/>
        <v>159</v>
      </c>
      <c r="Z99" s="33">
        <v>54</v>
      </c>
      <c r="AA99" s="33">
        <v>50</v>
      </c>
      <c r="AB99" s="33">
        <v>11</v>
      </c>
      <c r="AC99" s="33">
        <v>17</v>
      </c>
      <c r="AD99" s="33">
        <v>21</v>
      </c>
      <c r="AE99" s="33">
        <v>2</v>
      </c>
      <c r="AF99" s="93">
        <f t="shared" si="53"/>
        <v>155</v>
      </c>
    </row>
    <row r="100" spans="2:32" ht="15.75" customHeight="1">
      <c r="B100" s="9"/>
      <c r="C100" s="10" t="s">
        <v>141</v>
      </c>
      <c r="D100" s="384">
        <v>2</v>
      </c>
      <c r="E100" s="384">
        <v>5</v>
      </c>
      <c r="F100" s="385">
        <f>13+1</f>
        <v>14</v>
      </c>
      <c r="G100" s="385">
        <v>7</v>
      </c>
      <c r="H100" s="384">
        <v>1</v>
      </c>
      <c r="I100" s="384">
        <v>1</v>
      </c>
      <c r="J100" s="384">
        <v>1</v>
      </c>
      <c r="K100" s="494">
        <f t="shared" si="50"/>
        <v>31</v>
      </c>
      <c r="L100" s="384">
        <f>2+1</f>
        <v>3</v>
      </c>
      <c r="M100" s="384">
        <v>3</v>
      </c>
      <c r="N100" s="385">
        <f>21+2</f>
        <v>23</v>
      </c>
      <c r="O100" s="384">
        <v>0</v>
      </c>
      <c r="P100" s="384">
        <f>1+1</f>
        <v>2</v>
      </c>
      <c r="Q100" s="384">
        <v>0</v>
      </c>
      <c r="R100" s="93">
        <f t="shared" si="51"/>
        <v>31</v>
      </c>
      <c r="S100" s="346">
        <v>1</v>
      </c>
      <c r="T100" s="346">
        <v>0</v>
      </c>
      <c r="U100" s="346">
        <v>3</v>
      </c>
      <c r="V100" s="346">
        <v>2</v>
      </c>
      <c r="W100" s="346">
        <v>3</v>
      </c>
      <c r="X100" s="33">
        <v>0</v>
      </c>
      <c r="Y100" s="93">
        <f t="shared" si="52"/>
        <v>9</v>
      </c>
      <c r="Z100" s="33">
        <v>3</v>
      </c>
      <c r="AA100" s="33">
        <f>4+3</f>
        <v>7</v>
      </c>
      <c r="AB100" s="33">
        <v>3</v>
      </c>
      <c r="AC100" s="33">
        <v>4</v>
      </c>
      <c r="AD100" s="33">
        <v>4</v>
      </c>
      <c r="AE100" s="33">
        <v>3</v>
      </c>
      <c r="AF100" s="93">
        <f t="shared" si="53"/>
        <v>24</v>
      </c>
    </row>
    <row r="101" spans="2:32" ht="15.75" customHeight="1">
      <c r="B101" s="9"/>
      <c r="C101" s="10" t="s">
        <v>142</v>
      </c>
      <c r="D101" s="384">
        <v>48</v>
      </c>
      <c r="E101" s="384">
        <v>19</v>
      </c>
      <c r="F101" s="385">
        <v>19</v>
      </c>
      <c r="G101" s="385">
        <v>3</v>
      </c>
      <c r="H101" s="384">
        <v>3</v>
      </c>
      <c r="I101" s="384">
        <v>9</v>
      </c>
      <c r="J101" s="384">
        <v>4</v>
      </c>
      <c r="K101" s="494">
        <f t="shared" si="50"/>
        <v>105</v>
      </c>
      <c r="L101" s="384">
        <v>28</v>
      </c>
      <c r="M101" s="384">
        <v>24</v>
      </c>
      <c r="N101" s="385">
        <v>20</v>
      </c>
      <c r="O101" s="384">
        <v>6</v>
      </c>
      <c r="P101" s="384">
        <v>5</v>
      </c>
      <c r="Q101" s="384">
        <v>5</v>
      </c>
      <c r="R101" s="93">
        <f t="shared" si="51"/>
        <v>88</v>
      </c>
      <c r="S101" s="33">
        <v>41</v>
      </c>
      <c r="T101" s="33">
        <v>33</v>
      </c>
      <c r="U101" s="33">
        <v>0</v>
      </c>
      <c r="V101" s="33">
        <v>8</v>
      </c>
      <c r="W101" s="33">
        <v>4</v>
      </c>
      <c r="X101" s="33">
        <v>4</v>
      </c>
      <c r="Y101" s="93">
        <f t="shared" si="52"/>
        <v>90</v>
      </c>
      <c r="Z101" s="33">
        <v>42</v>
      </c>
      <c r="AA101" s="33">
        <v>49</v>
      </c>
      <c r="AB101" s="33">
        <v>1</v>
      </c>
      <c r="AC101" s="33">
        <v>11</v>
      </c>
      <c r="AD101" s="33">
        <f>0+3</f>
        <v>3</v>
      </c>
      <c r="AE101" s="33">
        <v>0</v>
      </c>
      <c r="AF101" s="93">
        <f t="shared" si="53"/>
        <v>106</v>
      </c>
    </row>
    <row r="102" spans="2:32" ht="15.75" customHeight="1">
      <c r="B102" s="9"/>
      <c r="C102" s="10" t="s">
        <v>143</v>
      </c>
      <c r="D102" s="384">
        <v>28</v>
      </c>
      <c r="E102" s="384">
        <v>21</v>
      </c>
      <c r="F102" s="385">
        <v>9</v>
      </c>
      <c r="G102" s="385">
        <v>13</v>
      </c>
      <c r="H102" s="384">
        <v>15</v>
      </c>
      <c r="I102" s="384">
        <v>3</v>
      </c>
      <c r="J102" s="384">
        <v>0</v>
      </c>
      <c r="K102" s="494">
        <f t="shared" si="50"/>
        <v>89</v>
      </c>
      <c r="L102" s="384">
        <v>28</v>
      </c>
      <c r="M102" s="384">
        <v>22</v>
      </c>
      <c r="N102" s="385">
        <v>13</v>
      </c>
      <c r="O102" s="384">
        <v>12</v>
      </c>
      <c r="P102" s="384">
        <v>1</v>
      </c>
      <c r="Q102" s="384">
        <v>0</v>
      </c>
      <c r="R102" s="93">
        <f t="shared" si="51"/>
        <v>76</v>
      </c>
      <c r="S102" s="33">
        <v>30</v>
      </c>
      <c r="T102" s="33">
        <v>7</v>
      </c>
      <c r="U102" s="33">
        <v>5</v>
      </c>
      <c r="V102" s="33">
        <v>1</v>
      </c>
      <c r="W102" s="33">
        <v>21</v>
      </c>
      <c r="X102" s="33">
        <v>0</v>
      </c>
      <c r="Y102" s="93">
        <f t="shared" si="52"/>
        <v>64</v>
      </c>
      <c r="Z102" s="33">
        <v>19</v>
      </c>
      <c r="AA102" s="33">
        <v>7</v>
      </c>
      <c r="AB102" s="33">
        <v>2</v>
      </c>
      <c r="AC102" s="33">
        <v>2</v>
      </c>
      <c r="AD102" s="33">
        <f>2+6</f>
        <v>8</v>
      </c>
      <c r="AE102" s="33">
        <v>6</v>
      </c>
      <c r="AF102" s="93">
        <f t="shared" si="53"/>
        <v>44</v>
      </c>
    </row>
    <row r="103" spans="2:32" ht="15.75" customHeight="1">
      <c r="B103" s="9"/>
      <c r="C103" s="10" t="s">
        <v>144</v>
      </c>
      <c r="D103" s="384">
        <v>23</v>
      </c>
      <c r="E103" s="384">
        <v>12</v>
      </c>
      <c r="F103" s="385">
        <v>264</v>
      </c>
      <c r="G103" s="385">
        <v>197</v>
      </c>
      <c r="H103" s="384">
        <v>6</v>
      </c>
      <c r="I103" s="384">
        <v>5</v>
      </c>
      <c r="J103" s="384">
        <v>0</v>
      </c>
      <c r="K103" s="494">
        <f t="shared" si="50"/>
        <v>507</v>
      </c>
      <c r="L103" s="384">
        <v>25</v>
      </c>
      <c r="M103" s="384">
        <v>9</v>
      </c>
      <c r="N103" s="385">
        <v>160</v>
      </c>
      <c r="O103" s="384">
        <v>6</v>
      </c>
      <c r="P103" s="384">
        <v>6</v>
      </c>
      <c r="Q103" s="384">
        <v>0</v>
      </c>
      <c r="R103" s="93">
        <f t="shared" si="51"/>
        <v>206</v>
      </c>
      <c r="S103" s="33">
        <v>20</v>
      </c>
      <c r="T103" s="33">
        <v>10</v>
      </c>
      <c r="U103" s="33">
        <v>65</v>
      </c>
      <c r="V103" s="33">
        <v>7</v>
      </c>
      <c r="W103" s="33">
        <v>19</v>
      </c>
      <c r="X103" s="33">
        <v>1</v>
      </c>
      <c r="Y103" s="93">
        <f t="shared" si="52"/>
        <v>122</v>
      </c>
      <c r="Z103" s="33">
        <v>27</v>
      </c>
      <c r="AA103" s="33">
        <v>17</v>
      </c>
      <c r="AB103" s="33">
        <v>14</v>
      </c>
      <c r="AC103" s="33">
        <v>14</v>
      </c>
      <c r="AD103" s="33">
        <f>8+12</f>
        <v>20</v>
      </c>
      <c r="AE103" s="33">
        <v>0</v>
      </c>
      <c r="AF103" s="93">
        <f t="shared" si="53"/>
        <v>92</v>
      </c>
    </row>
    <row r="104" spans="2:32" ht="15.75" customHeight="1">
      <c r="B104" s="9"/>
      <c r="C104" s="10" t="s">
        <v>145</v>
      </c>
      <c r="D104" s="528">
        <v>0</v>
      </c>
      <c r="E104" s="528">
        <v>0</v>
      </c>
      <c r="F104" s="529">
        <v>1</v>
      </c>
      <c r="G104" s="529">
        <v>0</v>
      </c>
      <c r="H104" s="528">
        <v>0</v>
      </c>
      <c r="I104" s="528">
        <v>0</v>
      </c>
      <c r="J104" s="528">
        <v>0</v>
      </c>
      <c r="K104" s="518">
        <f t="shared" si="50"/>
        <v>1</v>
      </c>
      <c r="L104" s="384">
        <v>1</v>
      </c>
      <c r="M104" s="384">
        <v>0</v>
      </c>
      <c r="N104" s="385">
        <v>3</v>
      </c>
      <c r="O104" s="384">
        <v>0</v>
      </c>
      <c r="P104" s="384">
        <v>1</v>
      </c>
      <c r="Q104" s="384">
        <v>0</v>
      </c>
      <c r="R104" s="93">
        <f t="shared" si="51"/>
        <v>5</v>
      </c>
      <c r="S104" s="33"/>
      <c r="T104" s="33"/>
      <c r="U104" s="33"/>
      <c r="V104" s="33"/>
      <c r="W104" s="33"/>
      <c r="X104" s="33"/>
      <c r="Y104" s="93">
        <f t="shared" si="52"/>
        <v>0</v>
      </c>
      <c r="Z104" s="33">
        <v>0</v>
      </c>
      <c r="AA104" s="33">
        <v>3</v>
      </c>
      <c r="AB104" s="33">
        <v>0</v>
      </c>
      <c r="AC104" s="33">
        <v>0</v>
      </c>
      <c r="AD104" s="33">
        <v>0</v>
      </c>
      <c r="AE104" s="33">
        <v>0</v>
      </c>
      <c r="AF104" s="93">
        <f t="shared" si="53"/>
        <v>3</v>
      </c>
    </row>
    <row r="105" spans="2:32" ht="15.75" customHeight="1" thickBot="1">
      <c r="B105" s="285"/>
      <c r="C105" s="286"/>
      <c r="D105" s="306"/>
      <c r="E105" s="306"/>
      <c r="F105" s="306"/>
      <c r="G105" s="306"/>
      <c r="H105" s="306"/>
      <c r="I105" s="306"/>
      <c r="J105" s="306"/>
      <c r="K105" s="313"/>
      <c r="L105" s="306"/>
      <c r="M105" s="306"/>
      <c r="N105" s="306"/>
      <c r="O105" s="306"/>
      <c r="P105" s="306"/>
      <c r="Q105" s="306"/>
      <c r="R105" s="313"/>
      <c r="S105" s="313"/>
      <c r="T105" s="313"/>
      <c r="U105" s="313"/>
      <c r="V105" s="313"/>
      <c r="W105" s="313"/>
      <c r="X105" s="313"/>
      <c r="Y105" s="313"/>
      <c r="Z105" s="313"/>
      <c r="AA105" s="313"/>
      <c r="AB105" s="313"/>
      <c r="AC105" s="313"/>
      <c r="AD105" s="313"/>
      <c r="AE105" s="313"/>
      <c r="AF105" s="313"/>
    </row>
    <row r="106" spans="2:32" ht="15.75" customHeight="1">
      <c r="B106" s="7" t="s">
        <v>146</v>
      </c>
      <c r="C106" s="8"/>
      <c r="D106" s="441"/>
      <c r="E106" s="441"/>
      <c r="F106" s="441"/>
      <c r="G106" s="441"/>
      <c r="H106" s="441"/>
      <c r="I106" s="441"/>
      <c r="J106" s="441"/>
      <c r="K106" s="59"/>
      <c r="L106" s="441"/>
      <c r="M106" s="441"/>
      <c r="N106" s="441"/>
      <c r="O106" s="441"/>
      <c r="P106" s="441"/>
      <c r="Q106" s="441"/>
      <c r="R106" s="59"/>
      <c r="S106" s="59"/>
      <c r="T106" s="59"/>
      <c r="U106" s="59"/>
      <c r="V106" s="59"/>
      <c r="W106" s="59"/>
      <c r="X106" s="59"/>
      <c r="Y106" s="59"/>
      <c r="Z106" s="59"/>
      <c r="AA106" s="59"/>
      <c r="AB106" s="59"/>
      <c r="AC106" s="59"/>
      <c r="AD106" s="59"/>
      <c r="AE106" s="59"/>
      <c r="AF106" s="59"/>
    </row>
    <row r="107" spans="2:32" ht="15.75" customHeight="1">
      <c r="B107" s="9"/>
      <c r="C107" s="10" t="s">
        <v>147</v>
      </c>
      <c r="D107" s="384">
        <v>53</v>
      </c>
      <c r="E107" s="384">
        <v>40</v>
      </c>
      <c r="F107" s="384">
        <f>94+4</f>
        <v>98</v>
      </c>
      <c r="G107" s="384">
        <v>286</v>
      </c>
      <c r="H107" s="384">
        <v>17</v>
      </c>
      <c r="I107" s="384">
        <f>6</f>
        <v>6</v>
      </c>
      <c r="J107" s="384">
        <v>1</v>
      </c>
      <c r="K107" s="494">
        <f>SUM(D107:J107)</f>
        <v>501</v>
      </c>
      <c r="L107" s="384">
        <f>64+1</f>
        <v>65</v>
      </c>
      <c r="M107" s="384">
        <v>51</v>
      </c>
      <c r="N107" s="384">
        <f>48+5</f>
        <v>53</v>
      </c>
      <c r="O107" s="384">
        <v>23</v>
      </c>
      <c r="P107" s="384">
        <f>10+1</f>
        <v>11</v>
      </c>
      <c r="Q107" s="384">
        <v>1</v>
      </c>
      <c r="R107" s="93">
        <f>SUM(L107:Q107)</f>
        <v>204</v>
      </c>
      <c r="S107" s="33">
        <v>54</v>
      </c>
      <c r="T107" s="33">
        <v>47</v>
      </c>
      <c r="U107" s="33">
        <f>13+5</f>
        <v>18</v>
      </c>
      <c r="V107" s="33">
        <f>3+4</f>
        <v>7</v>
      </c>
      <c r="W107" s="33">
        <v>34</v>
      </c>
      <c r="X107" s="33">
        <v>0</v>
      </c>
      <c r="Y107" s="93">
        <f>SUM(S107:X107)</f>
        <v>160</v>
      </c>
      <c r="Z107" s="33">
        <v>80</v>
      </c>
      <c r="AA107" s="33">
        <v>50</v>
      </c>
      <c r="AB107" s="33">
        <v>7</v>
      </c>
      <c r="AC107" s="33">
        <v>7</v>
      </c>
      <c r="AD107" s="33">
        <f>18+12</f>
        <v>30</v>
      </c>
      <c r="AE107" s="33">
        <f>2+9</f>
        <v>11</v>
      </c>
      <c r="AF107" s="93">
        <f>SUM(Z107:AE107)</f>
        <v>185</v>
      </c>
    </row>
    <row r="108" spans="2:32" ht="15.75" customHeight="1">
      <c r="B108" s="10"/>
      <c r="C108" s="10" t="s">
        <v>149</v>
      </c>
      <c r="D108" s="384">
        <v>10</v>
      </c>
      <c r="E108" s="384">
        <v>2</v>
      </c>
      <c r="F108" s="384">
        <v>26</v>
      </c>
      <c r="G108" s="384">
        <v>20</v>
      </c>
      <c r="H108" s="384">
        <v>2</v>
      </c>
      <c r="I108" s="384">
        <v>3</v>
      </c>
      <c r="J108" s="384">
        <v>2</v>
      </c>
      <c r="K108" s="494">
        <f>SUM(D108:J108)</f>
        <v>65</v>
      </c>
      <c r="L108" s="384">
        <v>15</v>
      </c>
      <c r="M108" s="384">
        <v>3</v>
      </c>
      <c r="N108" s="384">
        <v>13</v>
      </c>
      <c r="O108" s="384">
        <v>2</v>
      </c>
      <c r="P108" s="384">
        <v>5</v>
      </c>
      <c r="Q108" s="384">
        <v>5</v>
      </c>
      <c r="R108" s="93">
        <f>SUM(L108:Q108)</f>
        <v>43</v>
      </c>
      <c r="S108" s="33">
        <v>13</v>
      </c>
      <c r="T108" s="33">
        <v>4</v>
      </c>
      <c r="U108" s="33">
        <v>4</v>
      </c>
      <c r="V108" s="33">
        <v>8</v>
      </c>
      <c r="W108" s="33">
        <v>4</v>
      </c>
      <c r="X108" s="33">
        <v>2</v>
      </c>
      <c r="Y108" s="93">
        <f>SUM(S108:X108)</f>
        <v>35</v>
      </c>
      <c r="Z108" s="33">
        <v>18</v>
      </c>
      <c r="AA108" s="33">
        <v>5</v>
      </c>
      <c r="AB108" s="33">
        <v>5</v>
      </c>
      <c r="AC108" s="33">
        <v>10</v>
      </c>
      <c r="AD108" s="33">
        <f>2+2</f>
        <v>4</v>
      </c>
      <c r="AE108" s="33">
        <f>1+1</f>
        <v>2</v>
      </c>
      <c r="AF108" s="93">
        <f>SUM(Z108:AE108)</f>
        <v>44</v>
      </c>
    </row>
    <row r="109" spans="2:32" ht="15.75" customHeight="1">
      <c r="B109" s="13"/>
      <c r="C109" s="14" t="s">
        <v>150</v>
      </c>
      <c r="D109" s="343">
        <f t="shared" ref="D109:K109" si="54">SUM(D107:D108)</f>
        <v>63</v>
      </c>
      <c r="E109" s="343">
        <f>SUM(E107:E108)</f>
        <v>42</v>
      </c>
      <c r="F109" s="343">
        <f t="shared" si="54"/>
        <v>124</v>
      </c>
      <c r="G109" s="343">
        <f>SUM(G107:G108)</f>
        <v>306</v>
      </c>
      <c r="H109" s="343">
        <f t="shared" si="54"/>
        <v>19</v>
      </c>
      <c r="I109" s="343">
        <f t="shared" si="54"/>
        <v>9</v>
      </c>
      <c r="J109" s="343">
        <f t="shared" si="54"/>
        <v>3</v>
      </c>
      <c r="K109" s="522">
        <f t="shared" si="54"/>
        <v>566</v>
      </c>
      <c r="L109" s="343">
        <f t="shared" ref="L109:AF109" si="55">SUM(L107:L108)</f>
        <v>80</v>
      </c>
      <c r="M109" s="343">
        <f t="shared" si="55"/>
        <v>54</v>
      </c>
      <c r="N109" s="343">
        <f t="shared" si="55"/>
        <v>66</v>
      </c>
      <c r="O109" s="343">
        <f t="shared" si="55"/>
        <v>25</v>
      </c>
      <c r="P109" s="343">
        <f t="shared" si="55"/>
        <v>16</v>
      </c>
      <c r="Q109" s="343">
        <f t="shared" si="55"/>
        <v>6</v>
      </c>
      <c r="R109" s="460">
        <f t="shared" si="55"/>
        <v>247</v>
      </c>
      <c r="S109" s="54">
        <f t="shared" si="55"/>
        <v>67</v>
      </c>
      <c r="T109" s="54">
        <f t="shared" si="55"/>
        <v>51</v>
      </c>
      <c r="U109" s="54">
        <f t="shared" si="55"/>
        <v>22</v>
      </c>
      <c r="V109" s="54">
        <f t="shared" si="55"/>
        <v>15</v>
      </c>
      <c r="W109" s="54">
        <f t="shared" si="55"/>
        <v>38</v>
      </c>
      <c r="X109" s="54">
        <f t="shared" si="55"/>
        <v>2</v>
      </c>
      <c r="Y109" s="460">
        <f t="shared" si="55"/>
        <v>195</v>
      </c>
      <c r="Z109" s="54">
        <f t="shared" si="55"/>
        <v>98</v>
      </c>
      <c r="AA109" s="54">
        <f t="shared" si="55"/>
        <v>55</v>
      </c>
      <c r="AB109" s="54">
        <f t="shared" si="55"/>
        <v>12</v>
      </c>
      <c r="AC109" s="54">
        <f t="shared" si="55"/>
        <v>17</v>
      </c>
      <c r="AD109" s="54">
        <f t="shared" si="55"/>
        <v>34</v>
      </c>
      <c r="AE109" s="54">
        <f t="shared" si="55"/>
        <v>13</v>
      </c>
      <c r="AF109" s="460">
        <f t="shared" si="55"/>
        <v>229</v>
      </c>
    </row>
    <row r="110" spans="2:32" ht="15.75" customHeight="1">
      <c r="B110" s="9"/>
      <c r="C110" s="10" t="s">
        <v>151</v>
      </c>
      <c r="D110" s="384">
        <v>15</v>
      </c>
      <c r="E110" s="384">
        <v>9</v>
      </c>
      <c r="F110" s="384">
        <v>51</v>
      </c>
      <c r="G110" s="385">
        <v>93</v>
      </c>
      <c r="H110" s="384">
        <v>9</v>
      </c>
      <c r="I110" s="384">
        <v>3</v>
      </c>
      <c r="J110" s="384">
        <v>1</v>
      </c>
      <c r="K110" s="494">
        <f t="shared" ref="K110:K116" si="56">SUM(D110:J110)</f>
        <v>181</v>
      </c>
      <c r="L110" s="384">
        <v>25</v>
      </c>
      <c r="M110" s="384">
        <v>19</v>
      </c>
      <c r="N110" s="384">
        <v>16</v>
      </c>
      <c r="O110" s="384">
        <v>11</v>
      </c>
      <c r="P110" s="384">
        <v>4</v>
      </c>
      <c r="Q110" s="384">
        <v>1</v>
      </c>
      <c r="R110" s="494">
        <f t="shared" ref="R110:R116" si="57">SUM(L110:Q110)</f>
        <v>76</v>
      </c>
      <c r="S110" s="346">
        <v>22</v>
      </c>
      <c r="T110" s="346">
        <v>23</v>
      </c>
      <c r="U110" s="346">
        <v>6</v>
      </c>
      <c r="V110" s="346">
        <f>5</f>
        <v>5</v>
      </c>
      <c r="W110" s="346">
        <v>18</v>
      </c>
      <c r="X110" s="33">
        <v>2</v>
      </c>
      <c r="Y110" s="494">
        <f t="shared" ref="Y110:Y116" si="58">SUM(S110:X110)</f>
        <v>76</v>
      </c>
      <c r="Z110" s="33">
        <v>26</v>
      </c>
      <c r="AA110" s="33">
        <v>12</v>
      </c>
      <c r="AB110" s="33">
        <v>1</v>
      </c>
      <c r="AC110" s="33"/>
      <c r="AD110" s="33">
        <v>5</v>
      </c>
      <c r="AE110" s="33">
        <v>1</v>
      </c>
      <c r="AF110" s="93">
        <f t="shared" ref="AF110:AF116" si="59">SUM(Z110:AE110)</f>
        <v>45</v>
      </c>
    </row>
    <row r="111" spans="2:32" ht="15.75" customHeight="1">
      <c r="B111" s="9"/>
      <c r="C111" s="10" t="s">
        <v>152</v>
      </c>
      <c r="D111" s="384">
        <v>42</v>
      </c>
      <c r="E111" s="384">
        <v>25</v>
      </c>
      <c r="F111" s="384">
        <f>66+1</f>
        <v>67</v>
      </c>
      <c r="G111" s="385">
        <v>197</v>
      </c>
      <c r="H111" s="384">
        <v>5</v>
      </c>
      <c r="I111" s="384">
        <v>5</v>
      </c>
      <c r="J111" s="384">
        <v>2</v>
      </c>
      <c r="K111" s="494">
        <f t="shared" si="56"/>
        <v>343</v>
      </c>
      <c r="L111" s="384">
        <v>42</v>
      </c>
      <c r="M111" s="384">
        <v>26</v>
      </c>
      <c r="N111" s="384">
        <v>44</v>
      </c>
      <c r="O111" s="384">
        <v>12</v>
      </c>
      <c r="P111" s="384">
        <v>7</v>
      </c>
      <c r="Q111" s="384">
        <v>3</v>
      </c>
      <c r="R111" s="494">
        <f t="shared" si="57"/>
        <v>134</v>
      </c>
      <c r="S111" s="346">
        <v>38</v>
      </c>
      <c r="T111" s="346">
        <v>24</v>
      </c>
      <c r="U111" s="346">
        <v>15</v>
      </c>
      <c r="V111" s="346">
        <f>5+2</f>
        <v>7</v>
      </c>
      <c r="W111" s="346">
        <v>16</v>
      </c>
      <c r="X111" s="33">
        <v>0</v>
      </c>
      <c r="Y111" s="494">
        <f t="shared" si="58"/>
        <v>100</v>
      </c>
      <c r="Z111" s="33">
        <f>40+28</f>
        <v>68</v>
      </c>
      <c r="AA111" s="33">
        <f>27+11</f>
        <v>38</v>
      </c>
      <c r="AB111" s="33">
        <f>10+1</f>
        <v>11</v>
      </c>
      <c r="AC111" s="33">
        <f>6+10</f>
        <v>16</v>
      </c>
      <c r="AD111" s="33">
        <f>3+6+14</f>
        <v>23</v>
      </c>
      <c r="AE111" s="33">
        <v>6</v>
      </c>
      <c r="AF111" s="93">
        <f t="shared" si="59"/>
        <v>162</v>
      </c>
    </row>
    <row r="112" spans="2:32" ht="15.75" customHeight="1">
      <c r="B112" s="9"/>
      <c r="C112" s="10" t="s">
        <v>153</v>
      </c>
      <c r="D112" s="384">
        <v>6</v>
      </c>
      <c r="E112" s="384">
        <v>8</v>
      </c>
      <c r="F112" s="384">
        <f>3+3</f>
        <v>6</v>
      </c>
      <c r="G112" s="385">
        <v>16</v>
      </c>
      <c r="H112" s="384">
        <v>5</v>
      </c>
      <c r="I112" s="384">
        <v>1</v>
      </c>
      <c r="J112" s="384">
        <v>0</v>
      </c>
      <c r="K112" s="494">
        <f t="shared" si="56"/>
        <v>42</v>
      </c>
      <c r="L112" s="384">
        <f>12+1</f>
        <v>13</v>
      </c>
      <c r="M112" s="384">
        <v>9</v>
      </c>
      <c r="N112" s="384">
        <f>2+4</f>
        <v>6</v>
      </c>
      <c r="O112" s="384">
        <v>2</v>
      </c>
      <c r="P112" s="384">
        <f>4+1</f>
        <v>5</v>
      </c>
      <c r="Q112" s="384">
        <v>2</v>
      </c>
      <c r="R112" s="494">
        <f t="shared" si="57"/>
        <v>37</v>
      </c>
      <c r="S112" s="346">
        <v>7</v>
      </c>
      <c r="T112" s="346">
        <v>4</v>
      </c>
      <c r="U112" s="346">
        <v>1</v>
      </c>
      <c r="V112" s="346">
        <f>1+2</f>
        <v>3</v>
      </c>
      <c r="W112" s="346">
        <v>4</v>
      </c>
      <c r="X112" s="33"/>
      <c r="Y112" s="494">
        <f t="shared" si="58"/>
        <v>19</v>
      </c>
      <c r="Z112" s="33">
        <v>4</v>
      </c>
      <c r="AA112" s="33">
        <v>5</v>
      </c>
      <c r="AB112" s="33"/>
      <c r="AC112" s="33">
        <v>1</v>
      </c>
      <c r="AD112" s="33">
        <v>6</v>
      </c>
      <c r="AE112" s="33">
        <v>6</v>
      </c>
      <c r="AF112" s="93">
        <f t="shared" si="59"/>
        <v>22</v>
      </c>
    </row>
    <row r="113" spans="2:32" ht="15.75" customHeight="1">
      <c r="B113" s="9"/>
      <c r="C113" s="10" t="s">
        <v>154</v>
      </c>
      <c r="D113" s="384">
        <v>34</v>
      </c>
      <c r="E113" s="384">
        <v>12</v>
      </c>
      <c r="F113" s="384">
        <v>0</v>
      </c>
      <c r="G113" s="385">
        <v>6</v>
      </c>
      <c r="H113" s="384">
        <v>4</v>
      </c>
      <c r="I113" s="384">
        <v>5</v>
      </c>
      <c r="J113" s="384">
        <v>3</v>
      </c>
      <c r="K113" s="494">
        <f t="shared" si="56"/>
        <v>64</v>
      </c>
      <c r="L113" s="384">
        <v>27</v>
      </c>
      <c r="M113" s="384">
        <v>16</v>
      </c>
      <c r="N113" s="384">
        <v>5</v>
      </c>
      <c r="O113" s="384">
        <v>6</v>
      </c>
      <c r="P113" s="384">
        <v>11</v>
      </c>
      <c r="Q113" s="384">
        <v>6</v>
      </c>
      <c r="R113" s="494">
        <f t="shared" si="57"/>
        <v>71</v>
      </c>
      <c r="S113" s="33">
        <v>22</v>
      </c>
      <c r="T113" s="33">
        <v>32</v>
      </c>
      <c r="U113" s="33">
        <v>2</v>
      </c>
      <c r="V113" s="33">
        <v>5</v>
      </c>
      <c r="W113" s="33">
        <v>3</v>
      </c>
      <c r="X113" s="33">
        <v>2</v>
      </c>
      <c r="Y113" s="493">
        <f t="shared" si="58"/>
        <v>66</v>
      </c>
      <c r="Z113" s="33">
        <v>46</v>
      </c>
      <c r="AA113" s="33">
        <v>37</v>
      </c>
      <c r="AB113" s="33">
        <v>2</v>
      </c>
      <c r="AC113" s="33">
        <v>10</v>
      </c>
      <c r="AD113" s="33">
        <f>0+3</f>
        <v>3</v>
      </c>
      <c r="AE113" s="33">
        <v>0</v>
      </c>
      <c r="AF113" s="494">
        <f t="shared" si="59"/>
        <v>98</v>
      </c>
    </row>
    <row r="114" spans="2:32" ht="15.75" customHeight="1">
      <c r="B114" s="9"/>
      <c r="C114" s="10" t="s">
        <v>155</v>
      </c>
      <c r="D114" s="384">
        <v>12</v>
      </c>
      <c r="E114" s="384">
        <v>24</v>
      </c>
      <c r="F114" s="384">
        <v>14</v>
      </c>
      <c r="G114" s="385">
        <v>16</v>
      </c>
      <c r="H114" s="384">
        <v>9</v>
      </c>
      <c r="I114" s="384">
        <v>1</v>
      </c>
      <c r="J114" s="384">
        <v>0</v>
      </c>
      <c r="K114" s="494">
        <f t="shared" si="56"/>
        <v>76</v>
      </c>
      <c r="L114" s="384">
        <v>33</v>
      </c>
      <c r="M114" s="384">
        <v>26</v>
      </c>
      <c r="N114" s="384">
        <v>10</v>
      </c>
      <c r="O114" s="384">
        <v>13</v>
      </c>
      <c r="P114" s="384">
        <v>4</v>
      </c>
      <c r="Q114" s="384">
        <v>0</v>
      </c>
      <c r="R114" s="494">
        <f t="shared" si="57"/>
        <v>86</v>
      </c>
      <c r="S114" s="33">
        <v>24</v>
      </c>
      <c r="T114" s="33">
        <v>3</v>
      </c>
      <c r="U114" s="33">
        <v>1</v>
      </c>
      <c r="V114" s="33">
        <v>1</v>
      </c>
      <c r="W114" s="33">
        <v>16</v>
      </c>
      <c r="X114" s="33">
        <v>0</v>
      </c>
      <c r="Y114" s="493">
        <f t="shared" si="58"/>
        <v>45</v>
      </c>
      <c r="Z114" s="33">
        <v>30</v>
      </c>
      <c r="AA114" s="33">
        <v>5</v>
      </c>
      <c r="AB114" s="33">
        <v>1</v>
      </c>
      <c r="AC114" s="33">
        <v>0</v>
      </c>
      <c r="AD114" s="33">
        <f>4+8</f>
        <v>12</v>
      </c>
      <c r="AE114" s="33">
        <v>3</v>
      </c>
      <c r="AF114" s="494">
        <v>53</v>
      </c>
    </row>
    <row r="115" spans="2:32" ht="15.75" customHeight="1">
      <c r="B115" s="9"/>
      <c r="C115" s="10" t="s">
        <v>156</v>
      </c>
      <c r="D115" s="384">
        <v>17</v>
      </c>
      <c r="E115" s="384">
        <v>6</v>
      </c>
      <c r="F115" s="384">
        <v>106</v>
      </c>
      <c r="G115" s="385">
        <v>284</v>
      </c>
      <c r="H115" s="384">
        <v>6</v>
      </c>
      <c r="I115" s="384">
        <v>3</v>
      </c>
      <c r="J115" s="384">
        <v>0</v>
      </c>
      <c r="K115" s="494">
        <f t="shared" si="56"/>
        <v>422</v>
      </c>
      <c r="L115" s="384">
        <v>19</v>
      </c>
      <c r="M115" s="384">
        <v>12</v>
      </c>
      <c r="N115" s="384">
        <v>46</v>
      </c>
      <c r="O115" s="384">
        <v>6</v>
      </c>
      <c r="P115" s="384">
        <v>0</v>
      </c>
      <c r="Q115" s="384">
        <v>0</v>
      </c>
      <c r="R115" s="494">
        <f t="shared" si="57"/>
        <v>83</v>
      </c>
      <c r="S115" s="33">
        <v>21</v>
      </c>
      <c r="T115" s="33">
        <v>16</v>
      </c>
      <c r="U115" s="33">
        <v>14</v>
      </c>
      <c r="V115" s="33">
        <v>5</v>
      </c>
      <c r="W115" s="33">
        <v>19</v>
      </c>
      <c r="X115" s="33">
        <v>0</v>
      </c>
      <c r="Y115" s="93">
        <f t="shared" si="58"/>
        <v>75</v>
      </c>
      <c r="Z115" s="33">
        <v>20</v>
      </c>
      <c r="AA115" s="33">
        <v>13</v>
      </c>
      <c r="AB115" s="33">
        <v>9</v>
      </c>
      <c r="AC115" s="33">
        <v>7</v>
      </c>
      <c r="AD115" s="33">
        <f>16+3</f>
        <v>19</v>
      </c>
      <c r="AE115" s="33">
        <v>0</v>
      </c>
      <c r="AF115" s="494">
        <f t="shared" si="59"/>
        <v>68</v>
      </c>
    </row>
    <row r="116" spans="2:32" ht="15.75" customHeight="1">
      <c r="B116" s="9"/>
      <c r="C116" s="10" t="s">
        <v>157</v>
      </c>
      <c r="D116" s="384">
        <v>0</v>
      </c>
      <c r="E116" s="384">
        <v>0</v>
      </c>
      <c r="F116" s="384">
        <v>4</v>
      </c>
      <c r="G116" s="384">
        <v>0</v>
      </c>
      <c r="H116" s="384">
        <v>0</v>
      </c>
      <c r="I116" s="384">
        <v>0</v>
      </c>
      <c r="J116" s="384">
        <v>0</v>
      </c>
      <c r="K116" s="494">
        <f t="shared" si="56"/>
        <v>4</v>
      </c>
      <c r="L116" s="384">
        <v>1</v>
      </c>
      <c r="M116" s="384">
        <v>0</v>
      </c>
      <c r="N116" s="384">
        <v>5</v>
      </c>
      <c r="O116" s="384">
        <v>0</v>
      </c>
      <c r="P116" s="384">
        <v>1</v>
      </c>
      <c r="Q116" s="384">
        <v>0</v>
      </c>
      <c r="R116" s="494">
        <f t="shared" si="57"/>
        <v>7</v>
      </c>
      <c r="S116" s="33"/>
      <c r="T116" s="33"/>
      <c r="U116" s="33">
        <v>5</v>
      </c>
      <c r="V116" s="33">
        <v>4</v>
      </c>
      <c r="W116" s="33"/>
      <c r="X116" s="33">
        <v>0</v>
      </c>
      <c r="Y116" s="93">
        <f t="shared" si="58"/>
        <v>9</v>
      </c>
      <c r="Z116" s="33">
        <v>0</v>
      </c>
      <c r="AA116" s="33">
        <v>0</v>
      </c>
      <c r="AB116" s="33">
        <v>0</v>
      </c>
      <c r="AC116" s="33">
        <v>0</v>
      </c>
      <c r="AD116" s="33">
        <v>0</v>
      </c>
      <c r="AE116" s="33">
        <v>10</v>
      </c>
      <c r="AF116" s="494">
        <f t="shared" si="59"/>
        <v>10</v>
      </c>
    </row>
    <row r="117" spans="2:32" ht="15.75" customHeight="1">
      <c r="B117" s="13"/>
      <c r="C117" s="14" t="s">
        <v>158</v>
      </c>
      <c r="D117" s="485">
        <v>0.1084</v>
      </c>
      <c r="E117" s="486">
        <v>8.2000000000000003E-2</v>
      </c>
      <c r="F117" s="485">
        <v>0.29160000000000003</v>
      </c>
      <c r="G117" s="486">
        <f>+G109/G36</f>
        <v>0.45199409158050219</v>
      </c>
      <c r="H117" s="485">
        <v>0.20849999999999999</v>
      </c>
      <c r="I117" s="485">
        <v>0.1148</v>
      </c>
      <c r="J117" s="485">
        <f>J109/J36</f>
        <v>0.15</v>
      </c>
      <c r="K117" s="491">
        <f>+K109/K36</f>
        <v>0.23751573646663868</v>
      </c>
      <c r="L117" s="485">
        <f>L109/L36</f>
        <v>0.14209591474245115</v>
      </c>
      <c r="M117" s="485">
        <f t="shared" ref="M117:R117" si="60">M109/M36</f>
        <v>0.10821643286573146</v>
      </c>
      <c r="N117" s="485">
        <f t="shared" si="60"/>
        <v>0.30985915492957744</v>
      </c>
      <c r="O117" s="485">
        <f t="shared" si="60"/>
        <v>0.30120481927710846</v>
      </c>
      <c r="P117" s="485">
        <f t="shared" si="60"/>
        <v>0.19753086419753085</v>
      </c>
      <c r="Q117" s="485">
        <f t="shared" si="60"/>
        <v>0.31578947368421051</v>
      </c>
      <c r="R117" s="488">
        <f t="shared" si="60"/>
        <v>0.16941015089163236</v>
      </c>
      <c r="S117" s="489">
        <f t="shared" ref="S117:AF117" si="61">S109/S36</f>
        <v>0.122040072859745</v>
      </c>
      <c r="T117" s="489">
        <f t="shared" si="61"/>
        <v>0.10220440881763528</v>
      </c>
      <c r="U117" s="489">
        <f t="shared" si="61"/>
        <v>0.2857142857142857</v>
      </c>
      <c r="V117" s="489">
        <f t="shared" si="61"/>
        <v>0.189873417721519</v>
      </c>
      <c r="W117" s="489">
        <f t="shared" si="61"/>
        <v>0.46341463414634149</v>
      </c>
      <c r="X117" s="489">
        <f t="shared" si="61"/>
        <v>0.10526315789473684</v>
      </c>
      <c r="Y117" s="490">
        <f t="shared" si="61"/>
        <v>0.14942528735632185</v>
      </c>
      <c r="Z117" s="487">
        <f t="shared" si="61"/>
        <v>0.17785843920145192</v>
      </c>
      <c r="AA117" s="487">
        <f t="shared" si="61"/>
        <v>0.11044176706827309</v>
      </c>
      <c r="AB117" s="487">
        <f t="shared" si="61"/>
        <v>0.17142857142857143</v>
      </c>
      <c r="AC117" s="487">
        <f t="shared" si="61"/>
        <v>0.20481927710843373</v>
      </c>
      <c r="AD117" s="487">
        <f t="shared" si="61"/>
        <v>0.45333333333333331</v>
      </c>
      <c r="AE117" s="487">
        <f t="shared" si="61"/>
        <v>0.39393939393939392</v>
      </c>
      <c r="AF117" s="491">
        <f t="shared" si="61"/>
        <v>0.17480916030534352</v>
      </c>
    </row>
    <row r="118" spans="2:32" ht="15.75" customHeight="1">
      <c r="B118" s="13"/>
      <c r="C118" s="14" t="s">
        <v>159</v>
      </c>
      <c r="D118" s="485">
        <v>8.9999999999999993E-3</v>
      </c>
      <c r="E118" s="486">
        <v>6.7999999999999996E-3</v>
      </c>
      <c r="F118" s="485">
        <v>2.4299999999999999E-2</v>
      </c>
      <c r="G118" s="485">
        <v>3.7699999999999997E-2</v>
      </c>
      <c r="H118" s="485">
        <v>1.7399999999999999E-2</v>
      </c>
      <c r="I118" s="485">
        <f>+I117/12</f>
        <v>9.566666666666666E-3</v>
      </c>
      <c r="J118" s="485">
        <f>+J117/12</f>
        <v>1.2499999999999999E-2</v>
      </c>
      <c r="K118" s="491">
        <f>K117/12</f>
        <v>1.9792978038886556E-2</v>
      </c>
      <c r="L118" s="485">
        <f t="shared" ref="L118:X118" si="62">+L117/12</f>
        <v>1.1841326228537596E-2</v>
      </c>
      <c r="M118" s="485">
        <f t="shared" si="62"/>
        <v>9.0180360721442889E-3</v>
      </c>
      <c r="N118" s="485">
        <f t="shared" si="62"/>
        <v>2.5821596244131453E-2</v>
      </c>
      <c r="O118" s="485">
        <f t="shared" si="62"/>
        <v>2.5100401606425706E-2</v>
      </c>
      <c r="P118" s="485">
        <f t="shared" si="62"/>
        <v>1.6460905349794237E-2</v>
      </c>
      <c r="Q118" s="485">
        <f t="shared" si="62"/>
        <v>2.6315789473684209E-2</v>
      </c>
      <c r="R118" s="491">
        <f t="shared" si="62"/>
        <v>1.4117512574302696E-2</v>
      </c>
      <c r="S118" s="489">
        <f t="shared" si="62"/>
        <v>1.0170006071645416E-2</v>
      </c>
      <c r="T118" s="489">
        <f t="shared" si="62"/>
        <v>8.5170340681362724E-3</v>
      </c>
      <c r="U118" s="489">
        <f t="shared" si="62"/>
        <v>2.3809523809523808E-2</v>
      </c>
      <c r="V118" s="489">
        <f t="shared" si="62"/>
        <v>1.5822784810126583E-2</v>
      </c>
      <c r="W118" s="489">
        <f t="shared" si="62"/>
        <v>3.8617886178861791E-2</v>
      </c>
      <c r="X118" s="489">
        <f t="shared" si="62"/>
        <v>8.771929824561403E-3</v>
      </c>
      <c r="Y118" s="490">
        <f>Y117/12</f>
        <v>1.2452107279693488E-2</v>
      </c>
      <c r="Z118" s="487">
        <f t="shared" ref="Z118:AE118" si="63">+Z117/12</f>
        <v>1.4821536600120993E-2</v>
      </c>
      <c r="AA118" s="487">
        <f t="shared" si="63"/>
        <v>9.2034805890227576E-3</v>
      </c>
      <c r="AB118" s="487">
        <f t="shared" si="63"/>
        <v>1.4285714285714285E-2</v>
      </c>
      <c r="AC118" s="487">
        <f t="shared" si="63"/>
        <v>1.7068273092369479E-2</v>
      </c>
      <c r="AD118" s="487">
        <f t="shared" si="63"/>
        <v>3.7777777777777778E-2</v>
      </c>
      <c r="AE118" s="487">
        <f t="shared" si="63"/>
        <v>3.2828282828282825E-2</v>
      </c>
      <c r="AF118" s="491">
        <f>AF117/12</f>
        <v>1.4567430025445293E-2</v>
      </c>
    </row>
    <row r="119" spans="2:32" ht="15.75" customHeight="1" thickBot="1">
      <c r="B119" s="285"/>
      <c r="C119" s="286"/>
      <c r="D119" s="492"/>
      <c r="E119" s="492"/>
      <c r="F119" s="492"/>
      <c r="G119" s="492"/>
      <c r="H119" s="492"/>
      <c r="I119" s="492"/>
      <c r="J119" s="492"/>
      <c r="K119" s="313"/>
      <c r="L119" s="306"/>
      <c r="M119" s="306"/>
      <c r="N119" s="306"/>
      <c r="O119" s="306"/>
      <c r="P119" s="306"/>
      <c r="Q119" s="306"/>
      <c r="R119" s="313"/>
      <c r="S119" s="480"/>
      <c r="T119" s="313"/>
      <c r="U119" s="313"/>
      <c r="V119" s="313"/>
      <c r="W119" s="313"/>
      <c r="X119" s="313"/>
      <c r="Y119" s="313"/>
      <c r="Z119" s="313"/>
      <c r="AA119" s="313"/>
      <c r="AB119" s="313"/>
      <c r="AC119" s="313"/>
      <c r="AD119" s="313"/>
      <c r="AE119" s="313"/>
      <c r="AF119" s="313"/>
    </row>
    <row r="120" spans="2:32" ht="15.75" customHeight="1">
      <c r="B120" s="7" t="s">
        <v>160</v>
      </c>
      <c r="C120" s="8"/>
      <c r="D120" s="441"/>
      <c r="E120" s="441"/>
      <c r="F120" s="441"/>
      <c r="G120" s="441"/>
      <c r="H120" s="441"/>
      <c r="I120" s="441"/>
      <c r="J120" s="441"/>
      <c r="K120" s="384"/>
      <c r="L120" s="441"/>
      <c r="M120" s="441"/>
      <c r="N120" s="441"/>
      <c r="O120" s="441"/>
      <c r="P120" s="441"/>
      <c r="Q120" s="441"/>
      <c r="R120" s="384"/>
      <c r="S120" s="59"/>
      <c r="T120" s="59"/>
      <c r="U120" s="59"/>
      <c r="V120" s="59"/>
      <c r="W120" s="59"/>
      <c r="X120" s="59"/>
      <c r="Y120" s="59"/>
      <c r="Z120" s="59"/>
      <c r="AA120" s="59"/>
      <c r="AB120" s="59"/>
      <c r="AC120" s="59"/>
      <c r="AD120" s="59"/>
      <c r="AE120" s="59"/>
      <c r="AF120" s="59"/>
    </row>
    <row r="121" spans="2:32" ht="15.75" customHeight="1">
      <c r="B121" s="9"/>
      <c r="C121" s="10" t="s">
        <v>161</v>
      </c>
      <c r="D121" s="473">
        <v>5683</v>
      </c>
      <c r="E121" s="473">
        <v>3966</v>
      </c>
      <c r="F121" s="473">
        <v>1607</v>
      </c>
      <c r="G121" s="483">
        <v>3057</v>
      </c>
      <c r="H121" s="33">
        <v>119</v>
      </c>
      <c r="I121" s="33">
        <v>124</v>
      </c>
      <c r="J121" s="652" t="s">
        <v>263</v>
      </c>
      <c r="K121" s="494">
        <f>SUM(D121:J121)</f>
        <v>14556</v>
      </c>
      <c r="L121" s="33">
        <v>5032</v>
      </c>
      <c r="M121" s="33">
        <v>3866</v>
      </c>
      <c r="N121" s="33">
        <v>1093</v>
      </c>
      <c r="O121" s="33">
        <v>423</v>
      </c>
      <c r="P121" s="33">
        <v>88</v>
      </c>
      <c r="Q121" s="659" t="s">
        <v>26</v>
      </c>
      <c r="R121" s="93">
        <f>SUM(L121:Q121)</f>
        <v>10502</v>
      </c>
      <c r="S121" s="33">
        <v>4124</v>
      </c>
      <c r="T121" s="33">
        <v>3731</v>
      </c>
      <c r="U121" s="33">
        <v>335</v>
      </c>
      <c r="V121" s="33">
        <v>221</v>
      </c>
      <c r="W121" s="33">
        <v>1214</v>
      </c>
      <c r="X121" s="659" t="s">
        <v>93</v>
      </c>
      <c r="Y121" s="493">
        <f>SUM(S121:X121)</f>
        <v>9625</v>
      </c>
      <c r="Z121" s="494">
        <v>5828</v>
      </c>
      <c r="AA121" s="494">
        <v>3521</v>
      </c>
      <c r="AB121" s="494">
        <f>370+9</f>
        <v>379</v>
      </c>
      <c r="AC121" s="494">
        <v>0</v>
      </c>
      <c r="AD121" s="494">
        <v>363</v>
      </c>
      <c r="AE121" s="675" t="s">
        <v>93</v>
      </c>
      <c r="AF121" s="493">
        <f>SUM(Z121:AE121)</f>
        <v>10091</v>
      </c>
    </row>
    <row r="122" spans="2:32" ht="15.75" customHeight="1" thickBot="1">
      <c r="B122" s="14"/>
      <c r="C122" s="14" t="s">
        <v>162</v>
      </c>
      <c r="D122" s="486">
        <v>0.3211</v>
      </c>
      <c r="E122" s="485">
        <v>0.25440000000000002</v>
      </c>
      <c r="F122" s="486">
        <v>0.12889999999999999</v>
      </c>
      <c r="G122" s="485">
        <v>0.14899999999999999</v>
      </c>
      <c r="H122" s="485">
        <v>4.2599999999999999E-2</v>
      </c>
      <c r="I122" s="485">
        <v>5.11E-2</v>
      </c>
      <c r="J122" s="678"/>
      <c r="K122" s="488">
        <v>0.22639999999999999</v>
      </c>
      <c r="L122" s="495">
        <v>0.29470000000000002</v>
      </c>
      <c r="M122" s="495">
        <v>0.25459999999999999</v>
      </c>
      <c r="N122" s="495">
        <v>0.15720000000000001</v>
      </c>
      <c r="O122" s="495">
        <v>0.1721</v>
      </c>
      <c r="P122" s="495">
        <v>3.7600000000000001E-2</v>
      </c>
      <c r="Q122" s="660"/>
      <c r="R122" s="496">
        <v>0.24199999999999999</v>
      </c>
      <c r="S122" s="497">
        <v>0.24679999999999999</v>
      </c>
      <c r="T122" s="497">
        <v>0.24529999999999999</v>
      </c>
      <c r="U122" s="497">
        <v>0.159</v>
      </c>
      <c r="V122" s="497">
        <v>9.4500000000000001E-2</v>
      </c>
      <c r="W122" s="497">
        <v>0.49</v>
      </c>
      <c r="X122" s="660"/>
      <c r="Y122" s="498">
        <v>0.24640000000000001</v>
      </c>
      <c r="Z122" s="499">
        <v>0.4597</v>
      </c>
      <c r="AA122" s="499">
        <v>0.30730000000000002</v>
      </c>
      <c r="AB122" s="499">
        <v>0.29270000000000002</v>
      </c>
      <c r="AC122" s="499" t="s">
        <v>93</v>
      </c>
      <c r="AD122" s="499" t="s">
        <v>93</v>
      </c>
      <c r="AE122" s="676"/>
      <c r="AF122" s="498">
        <f>AVERAGE(Z122:AB122)</f>
        <v>0.35323333333333334</v>
      </c>
    </row>
    <row r="123" spans="2:32" ht="15.75" customHeight="1">
      <c r="B123" s="13"/>
      <c r="C123" s="14" t="s">
        <v>163</v>
      </c>
      <c r="D123" s="486">
        <v>2.6800000000000001E-2</v>
      </c>
      <c r="E123" s="485">
        <v>2.12E-2</v>
      </c>
      <c r="F123" s="486">
        <v>1.0699999999999999E-2</v>
      </c>
      <c r="G123" s="485">
        <f>+G122/12</f>
        <v>1.2416666666666666E-2</v>
      </c>
      <c r="H123" s="485">
        <v>3.5000000000000001E-3</v>
      </c>
      <c r="I123" s="485">
        <v>4.3E-3</v>
      </c>
      <c r="J123" s="679"/>
      <c r="K123" s="488">
        <f t="shared" ref="K123:P123" si="64">K122/12</f>
        <v>1.8866666666666667E-2</v>
      </c>
      <c r="L123" s="495">
        <f t="shared" si="64"/>
        <v>2.4558333333333335E-2</v>
      </c>
      <c r="M123" s="495">
        <f t="shared" si="64"/>
        <v>2.1216666666666665E-2</v>
      </c>
      <c r="N123" s="495">
        <f t="shared" si="64"/>
        <v>1.3100000000000001E-2</v>
      </c>
      <c r="O123" s="495">
        <f t="shared" si="64"/>
        <v>1.4341666666666667E-2</v>
      </c>
      <c r="P123" s="495">
        <f t="shared" si="64"/>
        <v>3.1333333333333335E-3</v>
      </c>
      <c r="Q123" s="661"/>
      <c r="R123" s="500">
        <f t="shared" ref="R123:W123" si="65">R122/12</f>
        <v>2.0166666666666666E-2</v>
      </c>
      <c r="S123" s="501">
        <f t="shared" si="65"/>
        <v>2.0566666666666667E-2</v>
      </c>
      <c r="T123" s="501">
        <f t="shared" si="65"/>
        <v>2.0441666666666667E-2</v>
      </c>
      <c r="U123" s="501">
        <f t="shared" si="65"/>
        <v>1.325E-2</v>
      </c>
      <c r="V123" s="501">
        <f t="shared" si="65"/>
        <v>7.8750000000000001E-3</v>
      </c>
      <c r="W123" s="501">
        <f t="shared" si="65"/>
        <v>4.0833333333333333E-2</v>
      </c>
      <c r="X123" s="661"/>
      <c r="Y123" s="498">
        <f>Y122/12</f>
        <v>2.0533333333333334E-2</v>
      </c>
      <c r="Z123" s="502">
        <v>3.8300000000000001E-2</v>
      </c>
      <c r="AA123" s="502">
        <v>2.5600000000000001E-2</v>
      </c>
      <c r="AB123" s="502">
        <v>2.4400000000000002E-2</v>
      </c>
      <c r="AC123" s="502" t="s">
        <v>93</v>
      </c>
      <c r="AD123" s="502" t="s">
        <v>93</v>
      </c>
      <c r="AE123" s="677"/>
      <c r="AF123" s="498">
        <f>AVERAGE(Z123:AB123)</f>
        <v>2.9433333333333336E-2</v>
      </c>
    </row>
    <row r="124" spans="2:32" ht="15.75" customHeight="1" thickBot="1">
      <c r="B124" s="285"/>
      <c r="C124" s="286"/>
      <c r="D124" s="306"/>
      <c r="E124" s="306"/>
      <c r="F124" s="306"/>
      <c r="G124" s="306"/>
      <c r="H124" s="306"/>
      <c r="I124" s="306"/>
      <c r="J124" s="306"/>
      <c r="K124" s="313"/>
      <c r="L124" s="306"/>
      <c r="M124" s="306"/>
      <c r="N124" s="306"/>
      <c r="O124" s="306"/>
      <c r="P124" s="306"/>
      <c r="Q124" s="306"/>
      <c r="R124" s="313"/>
      <c r="S124" s="313"/>
      <c r="T124" s="313"/>
      <c r="U124" s="313"/>
      <c r="V124" s="313"/>
      <c r="W124" s="313"/>
      <c r="X124" s="313"/>
      <c r="Y124" s="313"/>
      <c r="Z124" s="313"/>
      <c r="AA124" s="313"/>
      <c r="AB124" s="313"/>
      <c r="AC124" s="313"/>
      <c r="AD124" s="313"/>
      <c r="AE124" s="313"/>
      <c r="AF124" s="313"/>
    </row>
    <row r="125" spans="2:32" ht="15.75" customHeight="1">
      <c r="B125" s="7" t="s">
        <v>164</v>
      </c>
      <c r="C125" s="8"/>
      <c r="D125" s="441"/>
      <c r="E125" s="441"/>
      <c r="F125" s="441"/>
      <c r="G125" s="441"/>
      <c r="H125" s="441"/>
      <c r="I125" s="441"/>
      <c r="J125" s="441"/>
      <c r="K125" s="59"/>
      <c r="L125" s="441"/>
      <c r="M125" s="441"/>
      <c r="N125" s="441"/>
      <c r="O125" s="441"/>
      <c r="P125" s="441"/>
      <c r="Q125" s="441"/>
      <c r="R125" s="59"/>
      <c r="S125" s="59"/>
      <c r="T125" s="59"/>
      <c r="U125" s="59"/>
      <c r="V125" s="59"/>
      <c r="W125" s="59"/>
      <c r="X125" s="59"/>
      <c r="Y125" s="59"/>
      <c r="Z125" s="59"/>
      <c r="AA125" s="59"/>
      <c r="AB125" s="59"/>
      <c r="AC125" s="59"/>
      <c r="AD125" s="59"/>
      <c r="AE125" s="59"/>
      <c r="AF125" s="59"/>
    </row>
    <row r="126" spans="2:32" ht="15.75" customHeight="1">
      <c r="B126" s="9"/>
      <c r="C126" s="48" t="s">
        <v>165</v>
      </c>
      <c r="D126" s="484">
        <v>19407</v>
      </c>
      <c r="E126" s="484">
        <f>13223+3521+3704</f>
        <v>20448</v>
      </c>
      <c r="F126" s="484">
        <v>31132</v>
      </c>
      <c r="G126" s="484">
        <v>75859</v>
      </c>
      <c r="H126" s="647" t="s">
        <v>624</v>
      </c>
      <c r="I126" s="484">
        <v>1003</v>
      </c>
      <c r="J126" s="649" t="s">
        <v>263</v>
      </c>
      <c r="K126" s="518">
        <f>SUM(D126:J126)</f>
        <v>147849</v>
      </c>
      <c r="L126" s="33">
        <f>15939+12522</f>
        <v>28461</v>
      </c>
      <c r="M126" s="33">
        <f>2791+19046</f>
        <v>21837</v>
      </c>
      <c r="N126" s="33">
        <f>33932+5780</f>
        <v>39712</v>
      </c>
      <c r="O126" s="652" t="s">
        <v>26</v>
      </c>
      <c r="P126" s="33">
        <v>120</v>
      </c>
      <c r="Q126" s="652" t="s">
        <v>26</v>
      </c>
      <c r="R126" s="93">
        <f>SUM(L126:Q126)</f>
        <v>90130</v>
      </c>
      <c r="S126" s="58">
        <v>22394.48</v>
      </c>
      <c r="T126" s="58">
        <v>22394.7</v>
      </c>
      <c r="U126" s="58">
        <v>4744.72</v>
      </c>
      <c r="V126" s="33">
        <f>1110+210.18</f>
        <v>1320.18</v>
      </c>
      <c r="W126" s="33">
        <f>20.88+38.4+765.5</f>
        <v>824.78</v>
      </c>
      <c r="X126" s="33" t="s">
        <v>93</v>
      </c>
      <c r="Y126" s="93">
        <f>SUM(S126:X126)</f>
        <v>51678.86</v>
      </c>
      <c r="Z126" s="33">
        <f>8828+2796+5772</f>
        <v>17396</v>
      </c>
      <c r="AA126" s="33">
        <f>6260+11434</f>
        <v>17694</v>
      </c>
      <c r="AB126" s="33">
        <f>3266+734</f>
        <v>4000</v>
      </c>
      <c r="AC126" s="33">
        <v>1958</v>
      </c>
      <c r="AD126" s="33" t="s">
        <v>26</v>
      </c>
      <c r="AE126" s="33" t="s">
        <v>26</v>
      </c>
      <c r="AF126" s="93">
        <f>SUM(Z126:AE126)</f>
        <v>41048</v>
      </c>
    </row>
    <row r="127" spans="2:32" ht="15.75" customHeight="1">
      <c r="B127" s="9"/>
      <c r="C127" s="48" t="s">
        <v>166</v>
      </c>
      <c r="D127" s="484">
        <v>2290</v>
      </c>
      <c r="E127" s="484">
        <f>494+1162+804</f>
        <v>2460</v>
      </c>
      <c r="F127" s="484">
        <v>6916</v>
      </c>
      <c r="G127" s="484">
        <v>2346</v>
      </c>
      <c r="H127" s="680"/>
      <c r="I127" s="484">
        <v>963</v>
      </c>
      <c r="J127" s="681"/>
      <c r="K127" s="518">
        <f>SUM(D127:J127)</f>
        <v>14975</v>
      </c>
      <c r="L127" s="33">
        <f>1685+1717</f>
        <v>3402</v>
      </c>
      <c r="M127" s="33">
        <f>474+1725</f>
        <v>2199</v>
      </c>
      <c r="N127" s="33">
        <f>11426+1348</f>
        <v>12774</v>
      </c>
      <c r="O127" s="653"/>
      <c r="P127" s="33">
        <v>80</v>
      </c>
      <c r="Q127" s="653"/>
      <c r="R127" s="93">
        <f>SUM(L127:Q127)</f>
        <v>18455</v>
      </c>
      <c r="S127" s="58">
        <v>2436.3000000000002</v>
      </c>
      <c r="T127" s="58">
        <v>2403.48</v>
      </c>
      <c r="U127" s="58">
        <v>1005.65</v>
      </c>
      <c r="V127" s="33">
        <f>946+204.19</f>
        <v>1150.19</v>
      </c>
      <c r="W127" s="33">
        <f>0.5+43.75+177.5</f>
        <v>221.75</v>
      </c>
      <c r="X127" s="33" t="s">
        <v>93</v>
      </c>
      <c r="Y127" s="93">
        <f>SUM(S127:X127)</f>
        <v>7217.3700000000008</v>
      </c>
      <c r="Z127" s="33">
        <f>163+698+1019</f>
        <v>1880</v>
      </c>
      <c r="AA127" s="33">
        <f>2569+198</f>
        <v>2767</v>
      </c>
      <c r="AB127" s="33">
        <f>1093+474</f>
        <v>1567</v>
      </c>
      <c r="AC127" s="33">
        <v>1705</v>
      </c>
      <c r="AD127" s="33" t="s">
        <v>26</v>
      </c>
      <c r="AE127" s="33" t="s">
        <v>26</v>
      </c>
      <c r="AF127" s="93">
        <f>SUM(Z127:AE127)</f>
        <v>7919</v>
      </c>
    </row>
    <row r="128" spans="2:32" ht="15.75" customHeight="1">
      <c r="B128" s="13"/>
      <c r="C128" s="49" t="s">
        <v>167</v>
      </c>
      <c r="D128" s="503">
        <f>SUM(D126:D127)</f>
        <v>21697</v>
      </c>
      <c r="E128" s="503">
        <f>SUM(E126:E127)</f>
        <v>22908</v>
      </c>
      <c r="F128" s="503">
        <f>SUM(F126:F127)</f>
        <v>38048</v>
      </c>
      <c r="G128" s="503">
        <f>SUM(G126:G127)</f>
        <v>78205</v>
      </c>
      <c r="H128" s="680"/>
      <c r="I128" s="503">
        <f>SUM(I126:I127)</f>
        <v>1966</v>
      </c>
      <c r="J128" s="681"/>
      <c r="K128" s="521">
        <f>SUM(K126:K127)</f>
        <v>162824</v>
      </c>
      <c r="L128" s="54">
        <f>SUM(L126:L127)</f>
        <v>31863</v>
      </c>
      <c r="M128" s="54">
        <f>SUM(M126:M127)</f>
        <v>24036</v>
      </c>
      <c r="N128" s="54">
        <f>SUM(N126:N127)</f>
        <v>52486</v>
      </c>
      <c r="O128" s="653"/>
      <c r="P128" s="54">
        <f>SUM(P126:P127)</f>
        <v>200</v>
      </c>
      <c r="Q128" s="653"/>
      <c r="R128" s="629">
        <f t="shared" ref="R128:W128" si="66">SUM(R126:R127)</f>
        <v>108585</v>
      </c>
      <c r="S128" s="54">
        <f t="shared" si="66"/>
        <v>24830.78</v>
      </c>
      <c r="T128" s="54">
        <f t="shared" si="66"/>
        <v>24798.18</v>
      </c>
      <c r="U128" s="54">
        <f t="shared" si="66"/>
        <v>5750.37</v>
      </c>
      <c r="V128" s="54">
        <f t="shared" si="66"/>
        <v>2470.37</v>
      </c>
      <c r="W128" s="54">
        <f t="shared" si="66"/>
        <v>1046.53</v>
      </c>
      <c r="X128" s="50" t="s">
        <v>93</v>
      </c>
      <c r="Y128" s="460">
        <f>SUM(Y126:Y127)</f>
        <v>58896.23</v>
      </c>
      <c r="Z128" s="54">
        <f>SUM(Z126:Z127)</f>
        <v>19276</v>
      </c>
      <c r="AA128" s="54">
        <f>SUM(AA126:AA127)</f>
        <v>20461</v>
      </c>
      <c r="AB128" s="54">
        <f>SUM(AB126:AB127)</f>
        <v>5567</v>
      </c>
      <c r="AC128" s="54">
        <f>SUM(AC126:AC127)</f>
        <v>3663</v>
      </c>
      <c r="AD128" s="33" t="s">
        <v>26</v>
      </c>
      <c r="AE128" s="54">
        <f>SUM(AE126:AE127)</f>
        <v>0</v>
      </c>
      <c r="AF128" s="460">
        <f>SUM(AF126:AF127)</f>
        <v>48967</v>
      </c>
    </row>
    <row r="129" spans="2:33" ht="15.75" customHeight="1">
      <c r="B129" s="9"/>
      <c r="C129" s="48" t="s">
        <v>168</v>
      </c>
      <c r="D129" s="484">
        <v>14124</v>
      </c>
      <c r="E129" s="484">
        <f>13717+1328</f>
        <v>15045</v>
      </c>
      <c r="F129" s="484">
        <v>30020</v>
      </c>
      <c r="G129" s="484">
        <v>12513</v>
      </c>
      <c r="H129" s="680"/>
      <c r="I129" s="530">
        <v>0</v>
      </c>
      <c r="J129" s="681"/>
      <c r="K129" s="518">
        <f>SUM(D129:J129)</f>
        <v>71702</v>
      </c>
      <c r="L129" s="33">
        <f>12351+10420</f>
        <v>22771</v>
      </c>
      <c r="M129" s="33">
        <f>950+15791</f>
        <v>16741</v>
      </c>
      <c r="N129" s="33">
        <f>32785+5368</f>
        <v>38153</v>
      </c>
      <c r="O129" s="653"/>
      <c r="P129" s="33">
        <v>200</v>
      </c>
      <c r="Q129" s="653"/>
      <c r="R129" s="494">
        <f>SUM(L129:Q129)</f>
        <v>77865</v>
      </c>
      <c r="S129" s="33">
        <v>16789</v>
      </c>
      <c r="T129" s="33">
        <v>18722</v>
      </c>
      <c r="U129" s="33">
        <v>1855</v>
      </c>
      <c r="V129" s="33">
        <v>0</v>
      </c>
      <c r="W129" s="33">
        <v>775</v>
      </c>
      <c r="X129" s="33" t="s">
        <v>93</v>
      </c>
      <c r="Y129" s="93">
        <f>SUM(S129:X129)</f>
        <v>38141</v>
      </c>
      <c r="Z129" s="33">
        <v>12732</v>
      </c>
      <c r="AA129" s="33">
        <f>2333+11100</f>
        <v>13433</v>
      </c>
      <c r="AB129" s="33">
        <f>687+448</f>
        <v>1135</v>
      </c>
      <c r="AC129" s="33">
        <v>0</v>
      </c>
      <c r="AD129" s="33" t="s">
        <v>26</v>
      </c>
      <c r="AE129" s="33" t="s">
        <v>26</v>
      </c>
      <c r="AF129" s="514">
        <f>SUM(Z129:AE129)</f>
        <v>27300</v>
      </c>
    </row>
    <row r="130" spans="2:33" ht="15.75" customHeight="1">
      <c r="B130" s="9"/>
      <c r="C130" s="48" t="s">
        <v>169</v>
      </c>
      <c r="D130" s="484">
        <v>7573</v>
      </c>
      <c r="E130" s="484">
        <f>4683+3180</f>
        <v>7863</v>
      </c>
      <c r="F130" s="484">
        <v>8028</v>
      </c>
      <c r="G130" s="484">
        <v>65692</v>
      </c>
      <c r="H130" s="680"/>
      <c r="I130" s="484">
        <v>1966</v>
      </c>
      <c r="J130" s="681"/>
      <c r="K130" s="518">
        <f>SUM(D130:J130)</f>
        <v>91122</v>
      </c>
      <c r="L130" s="33">
        <f>5273+3819</f>
        <v>9092</v>
      </c>
      <c r="M130" s="33">
        <f>2315+4980</f>
        <v>7295</v>
      </c>
      <c r="N130" s="33">
        <f>12573+1760</f>
        <v>14333</v>
      </c>
      <c r="O130" s="653"/>
      <c r="P130" s="33" t="s">
        <v>26</v>
      </c>
      <c r="Q130" s="653"/>
      <c r="R130" s="494">
        <f>SUM(L130:Q130)</f>
        <v>30720</v>
      </c>
      <c r="S130" s="33">
        <v>8041.81</v>
      </c>
      <c r="T130" s="33">
        <v>6076.18</v>
      </c>
      <c r="U130" s="33">
        <v>3895.3</v>
      </c>
      <c r="V130" s="33">
        <f>2056+414.3</f>
        <v>2470.3000000000002</v>
      </c>
      <c r="W130" s="33">
        <f>82.15+21.6+168</f>
        <v>271.75</v>
      </c>
      <c r="X130" s="33" t="s">
        <v>93</v>
      </c>
      <c r="Y130" s="93">
        <f>SUM(S130:X130)</f>
        <v>20755.34</v>
      </c>
      <c r="Z130" s="33">
        <v>6544</v>
      </c>
      <c r="AA130" s="33">
        <f>6496+532</f>
        <v>7028</v>
      </c>
      <c r="AB130" s="33">
        <f>3672+760</f>
        <v>4432</v>
      </c>
      <c r="AC130" s="33">
        <f>AC128</f>
        <v>3663</v>
      </c>
      <c r="AD130" s="33" t="s">
        <v>26</v>
      </c>
      <c r="AE130" s="33" t="s">
        <v>26</v>
      </c>
      <c r="AF130" s="514">
        <f>SUM(Z130:AE130)</f>
        <v>21667</v>
      </c>
    </row>
    <row r="131" spans="2:33" ht="15.75" customHeight="1">
      <c r="B131" s="9"/>
      <c r="C131" s="10" t="s">
        <v>170</v>
      </c>
      <c r="D131" s="484">
        <f>D126/D34</f>
        <v>39.60612244897959</v>
      </c>
      <c r="E131" s="484">
        <f t="shared" ref="D131:G133" si="67">E126/E34</f>
        <v>43.414012738853501</v>
      </c>
      <c r="F131" s="484">
        <f t="shared" si="67"/>
        <v>89.717579250720462</v>
      </c>
      <c r="G131" s="484">
        <f t="shared" si="67"/>
        <v>119.46299212598426</v>
      </c>
      <c r="H131" s="680"/>
      <c r="I131" s="484">
        <f>I126/I34</f>
        <v>22.288888888888888</v>
      </c>
      <c r="J131" s="681"/>
      <c r="K131" s="518">
        <f>K126/K34</f>
        <v>71.252530120481921</v>
      </c>
      <c r="L131" s="33">
        <f>L128/L36</f>
        <v>56.595026642984017</v>
      </c>
      <c r="M131" s="33">
        <f>M128/M36</f>
        <v>48.168336673346694</v>
      </c>
      <c r="N131" s="33">
        <f>N128/N36</f>
        <v>246.41314553990611</v>
      </c>
      <c r="O131" s="653"/>
      <c r="P131" s="33">
        <f>P128/P36</f>
        <v>2.4691358024691357</v>
      </c>
      <c r="Q131" s="653"/>
      <c r="R131" s="514">
        <f>R126/R34</f>
        <v>72.920711974110034</v>
      </c>
      <c r="S131" s="504">
        <f>S128/S36</f>
        <v>45.229107468123857</v>
      </c>
      <c r="T131" s="504">
        <f>T128/T36</f>
        <v>49.695751503006015</v>
      </c>
      <c r="U131" s="504">
        <f>U128/U36</f>
        <v>74.680129870129875</v>
      </c>
      <c r="V131" s="504">
        <f>V128/V36</f>
        <v>31.270506329113921</v>
      </c>
      <c r="W131" s="504">
        <f>W128/W36</f>
        <v>12.762560975609755</v>
      </c>
      <c r="X131" s="33" t="s">
        <v>93</v>
      </c>
      <c r="Y131" s="514">
        <f>Y126/Y34</f>
        <v>46.683703703703706</v>
      </c>
      <c r="Z131" s="33">
        <f t="shared" ref="Z131:AC133" si="68">Z126/Z34</f>
        <v>37.17094017094017</v>
      </c>
      <c r="AA131" s="33">
        <f t="shared" si="68"/>
        <v>38.46521739130435</v>
      </c>
      <c r="AB131" s="33">
        <f t="shared" si="68"/>
        <v>78.431372549019613</v>
      </c>
      <c r="AC131" s="33">
        <f t="shared" si="68"/>
        <v>39.159999999999997</v>
      </c>
      <c r="AD131" s="33" t="s">
        <v>26</v>
      </c>
      <c r="AE131" s="33" t="s">
        <v>26</v>
      </c>
      <c r="AF131" s="93">
        <f>AF126/AF34</f>
        <v>36.847396768402156</v>
      </c>
    </row>
    <row r="132" spans="2:33" ht="15.75" customHeight="1">
      <c r="B132" s="9"/>
      <c r="C132" s="10" t="s">
        <v>171</v>
      </c>
      <c r="D132" s="484">
        <f t="shared" si="67"/>
        <v>24.361702127659573</v>
      </c>
      <c r="E132" s="484">
        <f t="shared" si="67"/>
        <v>58.571428571428569</v>
      </c>
      <c r="F132" s="484">
        <f t="shared" si="67"/>
        <v>111.54838709677419</v>
      </c>
      <c r="G132" s="484">
        <f t="shared" si="67"/>
        <v>55.857142857142854</v>
      </c>
      <c r="H132" s="680"/>
      <c r="I132" s="484">
        <f>I127/I35</f>
        <v>26.75</v>
      </c>
      <c r="J132" s="681"/>
      <c r="K132" s="518">
        <f>K127/K35</f>
        <v>48.620129870129873</v>
      </c>
      <c r="L132" s="33">
        <f t="shared" ref="L132:N133" si="69">L126/L34</f>
        <v>60.426751592356688</v>
      </c>
      <c r="M132" s="33">
        <f t="shared" si="69"/>
        <v>47.471739130434784</v>
      </c>
      <c r="N132" s="33">
        <f t="shared" si="69"/>
        <v>218.19780219780219</v>
      </c>
      <c r="O132" s="653"/>
      <c r="P132" s="33">
        <f>P126/P34</f>
        <v>2.5531914893617023</v>
      </c>
      <c r="Q132" s="653"/>
      <c r="R132" s="514">
        <f>R127/R35</f>
        <v>83.130630630630634</v>
      </c>
      <c r="S132" s="504">
        <f t="shared" ref="S132:W133" si="70">S126/S34</f>
        <v>48.472900432900431</v>
      </c>
      <c r="T132" s="504">
        <f t="shared" si="70"/>
        <v>48.368682505399569</v>
      </c>
      <c r="U132" s="504">
        <f t="shared" si="70"/>
        <v>79.078666666666678</v>
      </c>
      <c r="V132" s="504">
        <f t="shared" si="70"/>
        <v>28.088936170212769</v>
      </c>
      <c r="W132" s="504">
        <f t="shared" si="70"/>
        <v>12.496666666666666</v>
      </c>
      <c r="X132" s="33" t="s">
        <v>93</v>
      </c>
      <c r="Y132" s="514">
        <f>Y127/Y35</f>
        <v>36.451363636363638</v>
      </c>
      <c r="Z132" s="33">
        <f t="shared" si="68"/>
        <v>22.650602409638555</v>
      </c>
      <c r="AA132" s="33">
        <f t="shared" si="68"/>
        <v>72.815789473684205</v>
      </c>
      <c r="AB132" s="33">
        <f t="shared" si="68"/>
        <v>82.473684210526315</v>
      </c>
      <c r="AC132" s="33">
        <f t="shared" si="68"/>
        <v>51.666666666666664</v>
      </c>
      <c r="AD132" s="33" t="s">
        <v>26</v>
      </c>
      <c r="AE132" s="33" t="s">
        <v>26</v>
      </c>
      <c r="AF132" s="93">
        <f>AF127/AF35</f>
        <v>40.403061224489797</v>
      </c>
    </row>
    <row r="133" spans="2:33" ht="15.75" customHeight="1">
      <c r="B133" s="9"/>
      <c r="C133" s="10" t="s">
        <v>172</v>
      </c>
      <c r="D133" s="484">
        <f t="shared" si="67"/>
        <v>37.152397260273972</v>
      </c>
      <c r="E133" s="484">
        <f t="shared" si="67"/>
        <v>44.654970760233915</v>
      </c>
      <c r="F133" s="484">
        <f t="shared" si="67"/>
        <v>93.026894865525676</v>
      </c>
      <c r="G133" s="484">
        <f t="shared" si="67"/>
        <v>115.51698670605613</v>
      </c>
      <c r="H133" s="648"/>
      <c r="I133" s="484">
        <f>I128/I36</f>
        <v>24.271604938271604</v>
      </c>
      <c r="J133" s="682"/>
      <c r="K133" s="518">
        <f>K128/K36</f>
        <v>68.327318506084765</v>
      </c>
      <c r="L133" s="33">
        <f t="shared" si="69"/>
        <v>36.978260869565219</v>
      </c>
      <c r="M133" s="33">
        <f t="shared" si="69"/>
        <v>56.384615384615387</v>
      </c>
      <c r="N133" s="33">
        <f t="shared" si="69"/>
        <v>412.06451612903226</v>
      </c>
      <c r="O133" s="654"/>
      <c r="P133" s="33">
        <f>P127/P35</f>
        <v>2.3529411764705883</v>
      </c>
      <c r="Q133" s="654"/>
      <c r="R133" s="93">
        <f>R128/R36</f>
        <v>74.475308641975303</v>
      </c>
      <c r="S133" s="504">
        <f t="shared" si="70"/>
        <v>28.00344827586207</v>
      </c>
      <c r="T133" s="504">
        <f t="shared" si="70"/>
        <v>66.763333333333335</v>
      </c>
      <c r="U133" s="504">
        <f t="shared" si="70"/>
        <v>59.155882352941177</v>
      </c>
      <c r="V133" s="504">
        <f t="shared" si="70"/>
        <v>35.943437500000002</v>
      </c>
      <c r="W133" s="504">
        <f t="shared" si="70"/>
        <v>13.859375</v>
      </c>
      <c r="X133" s="33" t="s">
        <v>93</v>
      </c>
      <c r="Y133" s="514">
        <f>Y128/Y36</f>
        <v>45.131210727969354</v>
      </c>
      <c r="Z133" s="33">
        <f t="shared" si="68"/>
        <v>34.983666061705989</v>
      </c>
      <c r="AA133" s="33">
        <f t="shared" si="68"/>
        <v>41.086345381526101</v>
      </c>
      <c r="AB133" s="33">
        <f t="shared" si="68"/>
        <v>79.528571428571425</v>
      </c>
      <c r="AC133" s="33">
        <f t="shared" si="68"/>
        <v>44.132530120481931</v>
      </c>
      <c r="AD133" s="33" t="s">
        <v>26</v>
      </c>
      <c r="AE133" s="33" t="s">
        <v>26</v>
      </c>
      <c r="AF133" s="93">
        <f>AF128/AF36</f>
        <v>37.379389312977096</v>
      </c>
    </row>
    <row r="134" spans="2:33" ht="15.75" customHeight="1">
      <c r="B134" s="683" t="s">
        <v>173</v>
      </c>
      <c r="C134" s="683"/>
      <c r="D134" s="238"/>
      <c r="E134" s="238"/>
      <c r="F134" s="238"/>
      <c r="G134" s="238"/>
      <c r="H134" s="505"/>
      <c r="I134" s="238"/>
      <c r="J134" s="505"/>
      <c r="K134" s="505"/>
      <c r="L134" s="505"/>
      <c r="M134" s="505"/>
      <c r="N134" s="505"/>
      <c r="O134" s="505"/>
      <c r="P134" s="505"/>
      <c r="Q134" s="505"/>
      <c r="R134" s="505"/>
      <c r="S134" s="505"/>
      <c r="T134" s="505"/>
      <c r="U134" s="505"/>
      <c r="V134" s="505"/>
      <c r="W134" s="505"/>
      <c r="X134" s="505"/>
      <c r="Y134" s="505"/>
      <c r="Z134" s="515"/>
      <c r="AA134" s="505"/>
      <c r="AB134" s="505"/>
      <c r="AC134" s="505"/>
      <c r="AD134" s="505"/>
      <c r="AE134" s="505"/>
      <c r="AF134" s="505"/>
      <c r="AG134" s="448"/>
    </row>
    <row r="135" spans="2:33" ht="15.75" customHeight="1" thickBot="1">
      <c r="B135" s="450"/>
      <c r="C135" s="286"/>
      <c r="D135" s="306"/>
      <c r="E135" s="306"/>
      <c r="F135" s="306"/>
      <c r="G135" s="306"/>
      <c r="H135" s="306"/>
      <c r="I135" s="306"/>
      <c r="J135" s="306"/>
      <c r="K135" s="464"/>
      <c r="L135" s="306"/>
      <c r="M135" s="306"/>
      <c r="N135" s="306"/>
      <c r="O135" s="306"/>
      <c r="P135" s="306"/>
      <c r="Q135" s="306"/>
      <c r="R135" s="464"/>
      <c r="S135" s="313"/>
      <c r="T135" s="313"/>
      <c r="U135" s="313"/>
      <c r="V135" s="313"/>
      <c r="W135" s="313"/>
      <c r="X135" s="313"/>
      <c r="Y135" s="464"/>
      <c r="Z135" s="313"/>
      <c r="AA135" s="313"/>
      <c r="AB135" s="313"/>
      <c r="AC135" s="313"/>
      <c r="AD135" s="313"/>
      <c r="AE135" s="313"/>
      <c r="AF135" s="313"/>
    </row>
    <row r="136" spans="2:33" ht="15.75" customHeight="1">
      <c r="B136" s="7" t="s">
        <v>174</v>
      </c>
      <c r="C136" s="8"/>
      <c r="D136" s="441"/>
      <c r="E136" s="441"/>
      <c r="F136" s="441"/>
      <c r="G136" s="441"/>
      <c r="H136" s="441"/>
      <c r="I136" s="441"/>
      <c r="J136" s="441"/>
      <c r="K136" s="59"/>
      <c r="L136" s="441"/>
      <c r="M136" s="441"/>
      <c r="N136" s="441"/>
      <c r="O136" s="441"/>
      <c r="P136" s="441"/>
      <c r="Q136" s="441"/>
      <c r="R136" s="59"/>
      <c r="S136" s="59"/>
      <c r="T136" s="59"/>
      <c r="U136" s="59"/>
      <c r="V136" s="59"/>
      <c r="W136" s="58"/>
      <c r="X136" s="59"/>
      <c r="Y136" s="59"/>
      <c r="Z136" s="59"/>
      <c r="AA136" s="59"/>
      <c r="AB136" s="59"/>
      <c r="AC136" s="59"/>
      <c r="AD136" s="59"/>
      <c r="AE136" s="59"/>
      <c r="AF136" s="59"/>
    </row>
    <row r="137" spans="2:33" ht="15.75" customHeight="1">
      <c r="B137" s="9"/>
      <c r="C137" s="48" t="s">
        <v>175</v>
      </c>
      <c r="D137" s="484">
        <v>4782</v>
      </c>
      <c r="E137" s="484">
        <f>4370+1107</f>
        <v>5477</v>
      </c>
      <c r="F137" s="484">
        <v>6456</v>
      </c>
      <c r="G137" s="484">
        <v>104907</v>
      </c>
      <c r="H137" s="647" t="s">
        <v>624</v>
      </c>
      <c r="I137" s="649" t="s">
        <v>26</v>
      </c>
      <c r="J137" s="649" t="s">
        <v>26</v>
      </c>
      <c r="K137" s="518">
        <f>SUM(D137:J137)</f>
        <v>121622</v>
      </c>
      <c r="L137" s="33">
        <f>3974+4980</f>
        <v>8954</v>
      </c>
      <c r="M137" s="33">
        <f>522+222+4063</f>
        <v>4807</v>
      </c>
      <c r="N137" s="33">
        <f>2887+3812</f>
        <v>6699</v>
      </c>
      <c r="O137" s="662" t="s">
        <v>26</v>
      </c>
      <c r="P137" s="663"/>
      <c r="Q137" s="664"/>
      <c r="R137" s="93">
        <f>SUM(L137:Q137)</f>
        <v>20460</v>
      </c>
      <c r="S137" s="33">
        <v>3389</v>
      </c>
      <c r="T137" s="33">
        <v>2682</v>
      </c>
      <c r="U137" s="33">
        <v>4184</v>
      </c>
      <c r="V137" s="671" t="s">
        <v>26</v>
      </c>
      <c r="W137" s="663"/>
      <c r="X137" s="664"/>
      <c r="Y137" s="93">
        <f>SUM(S137:X137)</f>
        <v>10255</v>
      </c>
      <c r="Z137" s="33">
        <f>1496+3270</f>
        <v>4766</v>
      </c>
      <c r="AA137" s="33">
        <f>336+1893</f>
        <v>2229</v>
      </c>
      <c r="AB137" s="33">
        <f>352+434</f>
        <v>786</v>
      </c>
      <c r="AC137" s="671" t="s">
        <v>26</v>
      </c>
      <c r="AD137" s="663"/>
      <c r="AE137" s="664"/>
      <c r="AF137" s="93">
        <f>SUM(Z137:AE137)</f>
        <v>7781</v>
      </c>
    </row>
    <row r="138" spans="2:33" ht="15.75" customHeight="1">
      <c r="B138" s="9"/>
      <c r="C138" s="48" t="s">
        <v>176</v>
      </c>
      <c r="D138" s="484">
        <v>425</v>
      </c>
      <c r="E138" s="484">
        <f>294+201</f>
        <v>495</v>
      </c>
      <c r="F138" s="484">
        <v>658</v>
      </c>
      <c r="G138" s="484">
        <v>12962</v>
      </c>
      <c r="H138" s="680"/>
      <c r="I138" s="681"/>
      <c r="J138" s="681"/>
      <c r="K138" s="518">
        <f>SUM(D138:J138)</f>
        <v>14540</v>
      </c>
      <c r="L138" s="33">
        <f>415+847</f>
        <v>1262</v>
      </c>
      <c r="M138" s="33">
        <f>51+370</f>
        <v>421</v>
      </c>
      <c r="N138" s="33">
        <f>183+378</f>
        <v>561</v>
      </c>
      <c r="O138" s="665"/>
      <c r="P138" s="666"/>
      <c r="Q138" s="667"/>
      <c r="R138" s="93">
        <f>SUM(L138:Q138)</f>
        <v>2244</v>
      </c>
      <c r="S138" s="33">
        <v>629</v>
      </c>
      <c r="T138" s="33">
        <v>298</v>
      </c>
      <c r="U138" s="33">
        <v>268</v>
      </c>
      <c r="V138" s="665"/>
      <c r="W138" s="666"/>
      <c r="X138" s="667"/>
      <c r="Y138" s="93">
        <f>SUM(S138:X138)</f>
        <v>1195</v>
      </c>
      <c r="Z138" s="33">
        <f>8+96</f>
        <v>104</v>
      </c>
      <c r="AA138" s="33">
        <f>55+20</f>
        <v>75</v>
      </c>
      <c r="AB138" s="33">
        <f>34+38</f>
        <v>72</v>
      </c>
      <c r="AC138" s="665"/>
      <c r="AD138" s="666"/>
      <c r="AE138" s="667"/>
      <c r="AF138" s="93">
        <f>SUM(Z138:AE138)</f>
        <v>251</v>
      </c>
    </row>
    <row r="139" spans="2:33" ht="15.75" customHeight="1">
      <c r="B139" s="13"/>
      <c r="C139" s="49" t="s">
        <v>177</v>
      </c>
      <c r="D139" s="503">
        <f>SUM(D137:D138)</f>
        <v>5207</v>
      </c>
      <c r="E139" s="503">
        <f>SUM(E137:E138)</f>
        <v>5972</v>
      </c>
      <c r="F139" s="503">
        <f>SUM(F137:F138)</f>
        <v>7114</v>
      </c>
      <c r="G139" s="503">
        <f>SUM(G137:G138)</f>
        <v>117869</v>
      </c>
      <c r="H139" s="680"/>
      <c r="I139" s="681"/>
      <c r="J139" s="681"/>
      <c r="K139" s="521">
        <f>SUM(K137:K138)</f>
        <v>136162</v>
      </c>
      <c r="L139" s="54">
        <f>SUM(L137:L138)</f>
        <v>10216</v>
      </c>
      <c r="M139" s="54">
        <f>SUM(M137:M138)</f>
        <v>5228</v>
      </c>
      <c r="N139" s="54">
        <f>SUM(N137:N138)</f>
        <v>7260</v>
      </c>
      <c r="O139" s="665"/>
      <c r="P139" s="666"/>
      <c r="Q139" s="667"/>
      <c r="R139" s="460">
        <f>SUM(R137:R138)</f>
        <v>22704</v>
      </c>
      <c r="S139" s="54">
        <f>SUM(S137:S138)</f>
        <v>4018</v>
      </c>
      <c r="T139" s="54">
        <f>SUM(T137:T138)</f>
        <v>2980</v>
      </c>
      <c r="U139" s="54">
        <f>SUM(U137:U138)</f>
        <v>4452</v>
      </c>
      <c r="V139" s="665"/>
      <c r="W139" s="666"/>
      <c r="X139" s="667"/>
      <c r="Y139" s="460">
        <f>SUM(Y137:Y138)</f>
        <v>11450</v>
      </c>
      <c r="Z139" s="54">
        <f>SUM(Z137:Z138)</f>
        <v>4870</v>
      </c>
      <c r="AA139" s="54">
        <f>SUM(AA137:AA138)</f>
        <v>2304</v>
      </c>
      <c r="AB139" s="54">
        <f>SUM(AB137:AB138)</f>
        <v>858</v>
      </c>
      <c r="AC139" s="665"/>
      <c r="AD139" s="666"/>
      <c r="AE139" s="667"/>
      <c r="AF139" s="460">
        <f>SUM(AF137:AF138)</f>
        <v>8032</v>
      </c>
    </row>
    <row r="140" spans="2:33" ht="15.75" customHeight="1">
      <c r="B140" s="9"/>
      <c r="C140" s="10" t="s">
        <v>178</v>
      </c>
      <c r="D140" s="484">
        <f>D137/D39</f>
        <v>21.638009049773757</v>
      </c>
      <c r="E140" s="484">
        <f t="shared" ref="E140:F142" si="71">E137/E39</f>
        <v>26.080952380952382</v>
      </c>
      <c r="F140" s="484">
        <f t="shared" si="71"/>
        <v>10.024844720496894</v>
      </c>
      <c r="G140" s="484">
        <f>G137/G39</f>
        <v>80.946759259259252</v>
      </c>
      <c r="H140" s="680"/>
      <c r="I140" s="681"/>
      <c r="J140" s="681"/>
      <c r="K140" s="518">
        <f t="shared" ref="K140:N142" si="72">K137/K39</f>
        <v>51.274030354131533</v>
      </c>
      <c r="L140" s="33">
        <f t="shared" si="72"/>
        <v>29.649006622516556</v>
      </c>
      <c r="M140" s="33">
        <f t="shared" si="72"/>
        <v>24.778350515463917</v>
      </c>
      <c r="N140" s="33">
        <f t="shared" si="72"/>
        <v>10.875</v>
      </c>
      <c r="O140" s="665"/>
      <c r="P140" s="666"/>
      <c r="Q140" s="667"/>
      <c r="R140" s="93">
        <f t="shared" ref="R140:U142" si="73">R137/R39</f>
        <v>18.284182305630026</v>
      </c>
      <c r="S140" s="33">
        <f t="shared" si="73"/>
        <v>10.207831325301205</v>
      </c>
      <c r="T140" s="33">
        <f t="shared" si="73"/>
        <v>16.555555555555557</v>
      </c>
      <c r="U140" s="33">
        <f t="shared" si="73"/>
        <v>13.673202614379084</v>
      </c>
      <c r="V140" s="665"/>
      <c r="W140" s="666"/>
      <c r="X140" s="667"/>
      <c r="Y140" s="93">
        <f t="shared" ref="Y140:AB142" si="74">Y137/Y39</f>
        <v>12.164887307236061</v>
      </c>
      <c r="Z140" s="33">
        <f t="shared" si="74"/>
        <v>15.524429967426711</v>
      </c>
      <c r="AA140" s="33">
        <f t="shared" si="74"/>
        <v>14.95973154362416</v>
      </c>
      <c r="AB140" s="33">
        <f t="shared" si="74"/>
        <v>8.5434782608695645</v>
      </c>
      <c r="AC140" s="665"/>
      <c r="AD140" s="666"/>
      <c r="AE140" s="667"/>
      <c r="AF140" s="93">
        <f>AF137/AF39</f>
        <v>14.198905109489051</v>
      </c>
    </row>
    <row r="141" spans="2:33" ht="15.75" customHeight="1">
      <c r="B141" s="9"/>
      <c r="C141" s="10" t="s">
        <v>179</v>
      </c>
      <c r="D141" s="484">
        <f>D138/D40</f>
        <v>25</v>
      </c>
      <c r="E141" s="484">
        <f t="shared" si="71"/>
        <v>35.357142857142854</v>
      </c>
      <c r="F141" s="484">
        <f t="shared" si="71"/>
        <v>10.612903225806452</v>
      </c>
      <c r="G141" s="484">
        <f>G138/G40</f>
        <v>90.64335664335664</v>
      </c>
      <c r="H141" s="680"/>
      <c r="I141" s="681"/>
      <c r="J141" s="681"/>
      <c r="K141" s="518">
        <f t="shared" si="72"/>
        <v>60.082644628099175</v>
      </c>
      <c r="L141" s="33">
        <f t="shared" si="72"/>
        <v>63.1</v>
      </c>
      <c r="M141" s="33">
        <f t="shared" si="72"/>
        <v>38.272727272727273</v>
      </c>
      <c r="N141" s="33">
        <f t="shared" si="72"/>
        <v>11.22</v>
      </c>
      <c r="O141" s="665"/>
      <c r="P141" s="666"/>
      <c r="Q141" s="667"/>
      <c r="R141" s="93">
        <f t="shared" si="73"/>
        <v>27.703703703703702</v>
      </c>
      <c r="S141" s="33">
        <f t="shared" si="73"/>
        <v>28.59090909090909</v>
      </c>
      <c r="T141" s="33">
        <f t="shared" si="73"/>
        <v>29.8</v>
      </c>
      <c r="U141" s="33">
        <f t="shared" si="73"/>
        <v>9.2413793103448274</v>
      </c>
      <c r="V141" s="665"/>
      <c r="W141" s="666"/>
      <c r="X141" s="667"/>
      <c r="Y141" s="93">
        <f t="shared" si="74"/>
        <v>12.447916666666666</v>
      </c>
      <c r="Z141" s="33">
        <f t="shared" si="74"/>
        <v>5.2</v>
      </c>
      <c r="AA141" s="33">
        <f t="shared" si="74"/>
        <v>12.5</v>
      </c>
      <c r="AB141" s="33">
        <f t="shared" si="74"/>
        <v>7.2</v>
      </c>
      <c r="AC141" s="665"/>
      <c r="AD141" s="666"/>
      <c r="AE141" s="667"/>
      <c r="AF141" s="93">
        <f>AF138/AF40</f>
        <v>6.9722222222222223</v>
      </c>
    </row>
    <row r="142" spans="2:33" ht="15.75" customHeight="1">
      <c r="B142" s="9"/>
      <c r="C142" s="10" t="s">
        <v>180</v>
      </c>
      <c r="D142" s="484">
        <f>D139/D41</f>
        <v>21.8781512605042</v>
      </c>
      <c r="E142" s="484">
        <f t="shared" si="71"/>
        <v>26.660714285714285</v>
      </c>
      <c r="F142" s="484">
        <f t="shared" si="71"/>
        <v>10.076487252124647</v>
      </c>
      <c r="G142" s="484">
        <f>G139/G41</f>
        <v>81.91035441278666</v>
      </c>
      <c r="H142" s="648"/>
      <c r="I142" s="682"/>
      <c r="J142" s="682"/>
      <c r="K142" s="518">
        <f t="shared" si="72"/>
        <v>52.089517980107118</v>
      </c>
      <c r="L142" s="33">
        <f t="shared" si="72"/>
        <v>31.726708074534162</v>
      </c>
      <c r="M142" s="33">
        <f t="shared" si="72"/>
        <v>25.502439024390245</v>
      </c>
      <c r="N142" s="33">
        <f t="shared" si="72"/>
        <v>10.900900900900901</v>
      </c>
      <c r="O142" s="668"/>
      <c r="P142" s="669"/>
      <c r="Q142" s="670"/>
      <c r="R142" s="93">
        <f t="shared" si="73"/>
        <v>18.920000000000002</v>
      </c>
      <c r="S142" s="33">
        <f t="shared" si="73"/>
        <v>11.350282485875706</v>
      </c>
      <c r="T142" s="33">
        <f t="shared" si="73"/>
        <v>17.325581395348838</v>
      </c>
      <c r="U142" s="33">
        <f t="shared" si="73"/>
        <v>13.289552238805971</v>
      </c>
      <c r="V142" s="668"/>
      <c r="W142" s="669"/>
      <c r="X142" s="670"/>
      <c r="Y142" s="93">
        <f t="shared" si="74"/>
        <v>12.193823216187434</v>
      </c>
      <c r="Z142" s="33">
        <f t="shared" si="74"/>
        <v>14.892966360856269</v>
      </c>
      <c r="AA142" s="33">
        <f t="shared" si="74"/>
        <v>14.864516129032259</v>
      </c>
      <c r="AB142" s="33">
        <f t="shared" si="74"/>
        <v>8.4117647058823533</v>
      </c>
      <c r="AC142" s="668"/>
      <c r="AD142" s="669"/>
      <c r="AE142" s="670"/>
      <c r="AF142" s="93">
        <f>AF139/AF41</f>
        <v>13.753424657534246</v>
      </c>
    </row>
    <row r="143" spans="2:33" ht="14" customHeight="1">
      <c r="B143" s="683" t="s">
        <v>173</v>
      </c>
      <c r="C143" s="683"/>
      <c r="D143" s="343"/>
      <c r="E143" s="343"/>
      <c r="F143" s="343"/>
      <c r="G143" s="343"/>
      <c r="H143" s="343"/>
      <c r="I143" s="343"/>
      <c r="J143" s="343"/>
      <c r="K143" s="487"/>
      <c r="L143" s="343"/>
      <c r="M143" s="343"/>
      <c r="N143" s="343"/>
      <c r="O143" s="343"/>
      <c r="P143" s="343"/>
      <c r="Q143" s="343"/>
      <c r="R143" s="487"/>
      <c r="S143" s="487"/>
      <c r="T143" s="487"/>
      <c r="U143" s="487"/>
      <c r="V143" s="487"/>
      <c r="W143" s="487"/>
      <c r="X143" s="487"/>
      <c r="Y143" s="487"/>
      <c r="Z143" s="487"/>
      <c r="AA143" s="487"/>
      <c r="AB143" s="487"/>
      <c r="AC143" s="487"/>
      <c r="AD143" s="487"/>
      <c r="AE143" s="487"/>
      <c r="AF143" s="487"/>
    </row>
    <row r="144" spans="2:33" ht="15.75" customHeight="1" thickBot="1">
      <c r="B144" s="285"/>
      <c r="C144" s="286"/>
      <c r="D144" s="306"/>
      <c r="E144" s="306"/>
      <c r="F144" s="306"/>
      <c r="G144" s="306"/>
      <c r="H144" s="306"/>
      <c r="I144" s="306"/>
      <c r="J144" s="306"/>
      <c r="K144" s="313"/>
      <c r="L144" s="306"/>
      <c r="M144" s="306"/>
      <c r="N144" s="306"/>
      <c r="O144" s="306"/>
      <c r="P144" s="306"/>
      <c r="Q144" s="306"/>
      <c r="R144" s="313"/>
      <c r="S144" s="464"/>
      <c r="T144" s="464"/>
      <c r="U144" s="464"/>
      <c r="V144" s="464"/>
      <c r="W144" s="313"/>
      <c r="X144" s="313"/>
      <c r="Y144" s="464"/>
      <c r="Z144" s="313"/>
      <c r="AA144" s="313"/>
      <c r="AB144" s="313"/>
      <c r="AC144" s="313"/>
      <c r="AD144" s="313"/>
      <c r="AE144" s="313"/>
      <c r="AF144" s="313"/>
    </row>
    <row r="145" spans="2:32" ht="15.75" customHeight="1">
      <c r="B145" s="7" t="s">
        <v>182</v>
      </c>
      <c r="C145" s="8"/>
      <c r="D145" s="441"/>
      <c r="E145" s="441"/>
      <c r="F145" s="441"/>
      <c r="G145" s="441"/>
      <c r="H145" s="441"/>
      <c r="I145" s="441"/>
      <c r="J145" s="441"/>
      <c r="K145" s="59"/>
      <c r="L145" s="441"/>
      <c r="M145" s="441"/>
      <c r="N145" s="441"/>
      <c r="O145" s="441"/>
      <c r="P145" s="441"/>
      <c r="Q145" s="441"/>
      <c r="R145" s="59"/>
      <c r="S145" s="59"/>
      <c r="T145" s="59"/>
      <c r="U145" s="59"/>
      <c r="V145" s="59"/>
      <c r="W145" s="59"/>
      <c r="X145" s="59"/>
      <c r="Y145" s="59"/>
      <c r="Z145" s="59"/>
      <c r="AA145" s="59"/>
      <c r="AB145" s="59"/>
      <c r="AC145" s="59"/>
      <c r="AD145" s="59"/>
      <c r="AE145" s="59"/>
      <c r="AF145" s="59"/>
    </row>
    <row r="146" spans="2:32" ht="15.75" customHeight="1">
      <c r="B146" s="13"/>
      <c r="C146" s="14" t="s">
        <v>183</v>
      </c>
      <c r="D146" s="503">
        <f>D139+D128</f>
        <v>26904</v>
      </c>
      <c r="E146" s="503">
        <f>E139+E128</f>
        <v>28880</v>
      </c>
      <c r="F146" s="503">
        <f>F139+F128</f>
        <v>45162</v>
      </c>
      <c r="G146" s="503">
        <f>G139+G128</f>
        <v>196074</v>
      </c>
      <c r="H146" s="649" t="s">
        <v>26</v>
      </c>
      <c r="I146" s="503">
        <f>I139+I128</f>
        <v>1966</v>
      </c>
      <c r="J146" s="649" t="s">
        <v>26</v>
      </c>
      <c r="K146" s="521">
        <f>K139+K128</f>
        <v>298986</v>
      </c>
      <c r="L146" s="54">
        <f>L139+L128</f>
        <v>42079</v>
      </c>
      <c r="M146" s="54">
        <f>M139+M128</f>
        <v>29264</v>
      </c>
      <c r="N146" s="54">
        <f>N139+N128</f>
        <v>59746</v>
      </c>
      <c r="O146" s="672" t="s">
        <v>26</v>
      </c>
      <c r="P146" s="663"/>
      <c r="Q146" s="664"/>
      <c r="R146" s="460">
        <f t="shared" ref="R146:W146" si="75">R139+R128</f>
        <v>131289</v>
      </c>
      <c r="S146" s="54">
        <f t="shared" si="75"/>
        <v>28848.78</v>
      </c>
      <c r="T146" s="54">
        <f t="shared" si="75"/>
        <v>27778.18</v>
      </c>
      <c r="U146" s="54">
        <f t="shared" si="75"/>
        <v>10202.369999999999</v>
      </c>
      <c r="V146" s="54">
        <f t="shared" si="75"/>
        <v>2470.37</v>
      </c>
      <c r="W146" s="54">
        <f t="shared" si="75"/>
        <v>1046.53</v>
      </c>
      <c r="X146" s="659" t="s">
        <v>26</v>
      </c>
      <c r="Y146" s="460">
        <f t="shared" ref="Y146:AD146" si="76">Y139+Y128</f>
        <v>70346.23000000001</v>
      </c>
      <c r="Z146" s="54">
        <f t="shared" si="76"/>
        <v>24146</v>
      </c>
      <c r="AA146" s="54">
        <f t="shared" si="76"/>
        <v>22765</v>
      </c>
      <c r="AB146" s="54">
        <f t="shared" si="76"/>
        <v>6425</v>
      </c>
      <c r="AC146" s="54">
        <f t="shared" si="76"/>
        <v>3663</v>
      </c>
      <c r="AD146" s="54" t="e">
        <f t="shared" si="76"/>
        <v>#VALUE!</v>
      </c>
      <c r="AE146" s="54" t="s">
        <v>26</v>
      </c>
      <c r="AF146" s="460">
        <f>AF139+AF128</f>
        <v>56999</v>
      </c>
    </row>
    <row r="147" spans="2:32" ht="15.75" customHeight="1">
      <c r="B147" s="9"/>
      <c r="C147" s="55" t="s">
        <v>184</v>
      </c>
      <c r="D147" s="484">
        <f>(D137+D126)/(D34+D39)</f>
        <v>34.021097046413502</v>
      </c>
      <c r="E147" s="484">
        <f t="shared" ref="E147:G149" si="77">(E137+E126)/(E34+E39)</f>
        <v>38.069016152716593</v>
      </c>
      <c r="F147" s="484">
        <f t="shared" si="77"/>
        <v>37.929364278506561</v>
      </c>
      <c r="G147" s="484">
        <f>(G137+G126)/(G34+G39)</f>
        <v>93.6126359399275</v>
      </c>
      <c r="H147" s="681"/>
      <c r="I147" s="530">
        <v>0</v>
      </c>
      <c r="J147" s="681"/>
      <c r="K147" s="518">
        <f t="shared" ref="K147:N149" si="78">(K137+K126)/(K34+K39)</f>
        <v>60.596132223971217</v>
      </c>
      <c r="L147" s="33">
        <f t="shared" si="78"/>
        <v>48.402328589909445</v>
      </c>
      <c r="M147" s="33">
        <f t="shared" si="78"/>
        <v>40.740061162079513</v>
      </c>
      <c r="N147" s="33">
        <f t="shared" si="78"/>
        <v>58.159147869674186</v>
      </c>
      <c r="O147" s="665"/>
      <c r="P147" s="666"/>
      <c r="Q147" s="667"/>
      <c r="R147" s="93">
        <f t="shared" ref="R147:U149" si="79">(R137+R126)/(R34+R39)</f>
        <v>46.959660297239914</v>
      </c>
      <c r="S147" s="33">
        <f t="shared" si="79"/>
        <v>32.472896725440805</v>
      </c>
      <c r="T147" s="33">
        <f t="shared" si="79"/>
        <v>40.122720000000001</v>
      </c>
      <c r="U147" s="33">
        <f t="shared" si="79"/>
        <v>24.395409836065578</v>
      </c>
      <c r="V147" s="33">
        <f t="shared" ref="V147:W149" si="80">(V126)/(V34+V39)</f>
        <v>14.668666666666667</v>
      </c>
      <c r="W147" s="33">
        <f t="shared" si="80"/>
        <v>12.496666666666666</v>
      </c>
      <c r="X147" s="660"/>
      <c r="Y147" s="93">
        <f t="shared" ref="Y147:AB149" si="81">(Y137+Y126)/(Y34+Y39)</f>
        <v>31.760953846153846</v>
      </c>
      <c r="Z147" s="33">
        <f t="shared" si="81"/>
        <v>28.596129032258066</v>
      </c>
      <c r="AA147" s="33">
        <f t="shared" si="81"/>
        <v>32.714285714285715</v>
      </c>
      <c r="AB147" s="33">
        <f t="shared" si="81"/>
        <v>33.468531468531467</v>
      </c>
      <c r="AC147" s="33">
        <f>(AC126)/(AC34+AC39)</f>
        <v>39.159999999999997</v>
      </c>
      <c r="AD147" s="33" t="s">
        <v>26</v>
      </c>
      <c r="AE147" s="33" t="s">
        <v>26</v>
      </c>
      <c r="AF147" s="93">
        <f>(AF137+AF126)/(AF34+AF39)</f>
        <v>29.379663056558364</v>
      </c>
    </row>
    <row r="148" spans="2:32" ht="15.75" customHeight="1">
      <c r="B148" s="9"/>
      <c r="C148" s="55" t="s">
        <v>185</v>
      </c>
      <c r="D148" s="484">
        <f>(D138+D127)/(D35+D40)</f>
        <v>24.45945945945946</v>
      </c>
      <c r="E148" s="484">
        <f t="shared" si="77"/>
        <v>52.767857142857146</v>
      </c>
      <c r="F148" s="484">
        <f t="shared" si="77"/>
        <v>61.08064516129032</v>
      </c>
      <c r="G148" s="484">
        <f>(G138+G127)/(G35+G40)</f>
        <v>82.745945945945948</v>
      </c>
      <c r="H148" s="681"/>
      <c r="I148" s="484">
        <f>(I138+I127)/(I35+I40)</f>
        <v>22.928571428571427</v>
      </c>
      <c r="J148" s="681"/>
      <c r="K148" s="518">
        <f t="shared" si="78"/>
        <v>53.663636363636364</v>
      </c>
      <c r="L148" s="33">
        <f t="shared" si="78"/>
        <v>41.642857142857146</v>
      </c>
      <c r="M148" s="33">
        <f t="shared" si="78"/>
        <v>52.4</v>
      </c>
      <c r="N148" s="33">
        <f t="shared" si="78"/>
        <v>164.62962962962962</v>
      </c>
      <c r="O148" s="665"/>
      <c r="P148" s="666"/>
      <c r="Q148" s="667"/>
      <c r="R148" s="93">
        <f t="shared" si="79"/>
        <v>68.313531353135318</v>
      </c>
      <c r="S148" s="33">
        <f t="shared" si="79"/>
        <v>28.122018348623854</v>
      </c>
      <c r="T148" s="33">
        <f t="shared" si="79"/>
        <v>58.727826086956519</v>
      </c>
      <c r="U148" s="33">
        <f t="shared" si="79"/>
        <v>27.688043478260873</v>
      </c>
      <c r="V148" s="33">
        <f t="shared" si="80"/>
        <v>17.167014925373135</v>
      </c>
      <c r="W148" s="33">
        <f t="shared" si="80"/>
        <v>13.859375</v>
      </c>
      <c r="X148" s="660"/>
      <c r="Y148" s="93">
        <f t="shared" si="81"/>
        <v>28.613503401360546</v>
      </c>
      <c r="Z148" s="33">
        <f t="shared" si="81"/>
        <v>19.262135922330096</v>
      </c>
      <c r="AA148" s="33">
        <f t="shared" si="81"/>
        <v>64.590909090909093</v>
      </c>
      <c r="AB148" s="33">
        <f t="shared" si="81"/>
        <v>56.517241379310342</v>
      </c>
      <c r="AC148" s="33">
        <f>(AC127)/(AC35+AC40)</f>
        <v>51.666666666666664</v>
      </c>
      <c r="AD148" s="33" t="s">
        <v>26</v>
      </c>
      <c r="AE148" s="33" t="s">
        <v>26</v>
      </c>
      <c r="AF148" s="93">
        <f>(AF138+AF127)/(AF35+AF40)</f>
        <v>35.21551724137931</v>
      </c>
    </row>
    <row r="149" spans="2:32" ht="15.75" customHeight="1">
      <c r="B149" s="9"/>
      <c r="C149" s="55" t="s">
        <v>186</v>
      </c>
      <c r="D149" s="484">
        <f>(D139+D128)/(D36+D41)</f>
        <v>32.729927007299267</v>
      </c>
      <c r="E149" s="484">
        <f t="shared" si="77"/>
        <v>39.185888738127545</v>
      </c>
      <c r="F149" s="484">
        <f t="shared" si="77"/>
        <v>40.50403587443946</v>
      </c>
      <c r="G149" s="484">
        <f t="shared" si="77"/>
        <v>92.662570888468807</v>
      </c>
      <c r="H149" s="682"/>
      <c r="I149" s="484">
        <f>(I139+I128)/(I36+I41)</f>
        <v>22.34090909090909</v>
      </c>
      <c r="J149" s="682"/>
      <c r="K149" s="518">
        <f t="shared" si="78"/>
        <v>59.833099859915947</v>
      </c>
      <c r="L149" s="33">
        <f t="shared" si="78"/>
        <v>47.54689265536723</v>
      </c>
      <c r="M149" s="33">
        <f t="shared" si="78"/>
        <v>41.56818181818182</v>
      </c>
      <c r="N149" s="33">
        <f t="shared" si="78"/>
        <v>67.97042093287827</v>
      </c>
      <c r="O149" s="668"/>
      <c r="P149" s="669"/>
      <c r="Q149" s="670"/>
      <c r="R149" s="93">
        <f t="shared" si="79"/>
        <v>49.393905191873586</v>
      </c>
      <c r="S149" s="33">
        <f t="shared" si="79"/>
        <v>31.947707641196011</v>
      </c>
      <c r="T149" s="33">
        <f t="shared" si="79"/>
        <v>41.398181818181818</v>
      </c>
      <c r="U149" s="33">
        <f t="shared" si="79"/>
        <v>24.76303398058252</v>
      </c>
      <c r="V149" s="33">
        <f t="shared" si="80"/>
        <v>15.73484076433121</v>
      </c>
      <c r="W149" s="33">
        <f t="shared" si="80"/>
        <v>12.762560975609755</v>
      </c>
      <c r="X149" s="661"/>
      <c r="Y149" s="93">
        <f t="shared" si="81"/>
        <v>31.348587344028527</v>
      </c>
      <c r="Z149" s="33">
        <f t="shared" si="81"/>
        <v>27.501138952164009</v>
      </c>
      <c r="AA149" s="33">
        <f t="shared" si="81"/>
        <v>34.862174578866771</v>
      </c>
      <c r="AB149" s="33">
        <f t="shared" si="81"/>
        <v>37.354651162790695</v>
      </c>
      <c r="AC149" s="33">
        <f>(AC128)/(AC36+AC41)</f>
        <v>44.132530120481931</v>
      </c>
      <c r="AD149" s="33" t="e">
        <f>(AD128)/(AD36+AD41)</f>
        <v>#VALUE!</v>
      </c>
      <c r="AE149" s="33" t="s">
        <v>26</v>
      </c>
      <c r="AF149" s="93">
        <f>(AF139+AF128)/(AF36+AF41)</f>
        <v>30.094508975712777</v>
      </c>
    </row>
    <row r="150" spans="2:32" ht="15.75" customHeight="1" thickBot="1">
      <c r="B150" s="285"/>
      <c r="C150" s="286"/>
      <c r="D150" s="306"/>
      <c r="E150" s="306"/>
      <c r="F150" s="306"/>
      <c r="G150" s="306"/>
      <c r="H150" s="306"/>
      <c r="I150" s="306"/>
      <c r="J150" s="306"/>
      <c r="K150" s="313"/>
      <c r="L150" s="306"/>
      <c r="M150" s="306"/>
      <c r="N150" s="306"/>
      <c r="O150" s="306"/>
      <c r="P150" s="306"/>
      <c r="Q150" s="306"/>
      <c r="R150" s="313"/>
      <c r="S150" s="464"/>
      <c r="T150" s="464"/>
      <c r="U150" s="464"/>
      <c r="V150" s="464"/>
      <c r="W150" s="313"/>
      <c r="X150" s="313"/>
      <c r="Y150" s="464"/>
      <c r="Z150" s="313"/>
      <c r="AA150" s="313"/>
      <c r="AB150" s="313"/>
      <c r="AC150" s="313"/>
      <c r="AD150" s="313"/>
      <c r="AE150" s="313"/>
      <c r="AF150" s="313"/>
    </row>
    <row r="151" spans="2:32" ht="15.75" customHeight="1">
      <c r="B151" s="7" t="s">
        <v>187</v>
      </c>
      <c r="C151" s="8"/>
      <c r="D151" s="441"/>
      <c r="E151" s="441"/>
      <c r="F151" s="441"/>
      <c r="G151" s="441"/>
      <c r="H151" s="441"/>
      <c r="I151" s="441"/>
      <c r="J151" s="441"/>
      <c r="K151" s="59"/>
      <c r="L151" s="441"/>
      <c r="M151" s="441"/>
      <c r="N151" s="441"/>
      <c r="O151" s="441"/>
      <c r="P151" s="441"/>
      <c r="Q151" s="441"/>
      <c r="R151" s="58">
        <f>+R152/R30</f>
        <v>19.772187281621243</v>
      </c>
      <c r="S151" s="59"/>
      <c r="T151" s="59"/>
      <c r="U151" s="59"/>
      <c r="V151" s="59"/>
      <c r="W151" s="59"/>
      <c r="X151" s="59"/>
      <c r="Y151" s="462"/>
      <c r="Z151" s="59"/>
      <c r="AA151" s="59"/>
      <c r="AB151" s="59"/>
      <c r="AC151" s="59"/>
      <c r="AD151" s="59"/>
      <c r="AE151" s="59"/>
      <c r="AF151" s="59"/>
    </row>
    <row r="152" spans="2:32" ht="15.75" customHeight="1">
      <c r="B152" s="9"/>
      <c r="C152" s="48" t="s">
        <v>188</v>
      </c>
      <c r="D152" s="484">
        <v>8160</v>
      </c>
      <c r="E152" s="484">
        <v>23184</v>
      </c>
      <c r="F152" s="484">
        <v>18967</v>
      </c>
      <c r="G152" s="484">
        <v>155588</v>
      </c>
      <c r="H152" s="647" t="s">
        <v>624</v>
      </c>
      <c r="I152" s="484">
        <v>197</v>
      </c>
      <c r="J152" s="649" t="s">
        <v>26</v>
      </c>
      <c r="K152" s="518">
        <f>SUM(D152:J152)</f>
        <v>206096</v>
      </c>
      <c r="L152" s="33">
        <v>20066</v>
      </c>
      <c r="M152" s="33">
        <v>25204</v>
      </c>
      <c r="N152" s="33">
        <v>11318</v>
      </c>
      <c r="O152" s="659" t="s">
        <v>26</v>
      </c>
      <c r="P152" s="33">
        <v>0</v>
      </c>
      <c r="Q152" s="659" t="s">
        <v>26</v>
      </c>
      <c r="R152" s="93">
        <f>SUM(L152:Q152)</f>
        <v>56588</v>
      </c>
      <c r="S152" s="33">
        <v>13803</v>
      </c>
      <c r="T152" s="33">
        <v>20726</v>
      </c>
      <c r="U152" s="33">
        <v>2719</v>
      </c>
      <c r="V152" s="33" t="s">
        <v>93</v>
      </c>
      <c r="W152" s="33">
        <v>943</v>
      </c>
      <c r="X152" s="659" t="s">
        <v>26</v>
      </c>
      <c r="Y152" s="93">
        <f>SUM(S152:X152)</f>
        <v>38191</v>
      </c>
      <c r="Z152" s="33">
        <f>10157</f>
        <v>10157</v>
      </c>
      <c r="AA152" s="33">
        <v>13545</v>
      </c>
      <c r="AB152" s="33">
        <v>1680</v>
      </c>
      <c r="AC152" s="33">
        <v>138</v>
      </c>
      <c r="AD152" s="33">
        <v>1048</v>
      </c>
      <c r="AE152" s="33" t="s">
        <v>26</v>
      </c>
      <c r="AF152" s="93">
        <f>SUM(Z152:AE152)</f>
        <v>26568</v>
      </c>
    </row>
    <row r="153" spans="2:32" ht="15.75" customHeight="1">
      <c r="B153" s="9"/>
      <c r="C153" s="56" t="s">
        <v>189</v>
      </c>
      <c r="D153" s="484">
        <v>18211</v>
      </c>
      <c r="E153" s="484">
        <v>3955</v>
      </c>
      <c r="F153" s="484">
        <v>26113</v>
      </c>
      <c r="G153" s="484">
        <v>41180</v>
      </c>
      <c r="H153" s="680"/>
      <c r="I153" s="484">
        <v>1115</v>
      </c>
      <c r="J153" s="681"/>
      <c r="K153" s="518">
        <f>SUM(D153:J153)</f>
        <v>90574</v>
      </c>
      <c r="L153" s="33">
        <f>17624+4389</f>
        <v>22013</v>
      </c>
      <c r="M153" s="33">
        <f>3265+795</f>
        <v>4060</v>
      </c>
      <c r="N153" s="33">
        <f>45358+3070</f>
        <v>48428</v>
      </c>
      <c r="O153" s="660"/>
      <c r="P153" s="33">
        <v>0</v>
      </c>
      <c r="Q153" s="660"/>
      <c r="R153" s="93">
        <f>SUM(L153:Q153)</f>
        <v>74501</v>
      </c>
      <c r="S153" s="33">
        <f>961+13610</f>
        <v>14571</v>
      </c>
      <c r="T153" s="33">
        <v>6215</v>
      </c>
      <c r="U153" s="33">
        <f>2050+3032</f>
        <v>5082</v>
      </c>
      <c r="V153" s="33">
        <v>220</v>
      </c>
      <c r="W153" s="33"/>
      <c r="X153" s="660"/>
      <c r="Y153" s="93">
        <f>SUM(S153:X153)</f>
        <v>26088</v>
      </c>
      <c r="Z153" s="33">
        <v>10910</v>
      </c>
      <c r="AA153" s="33">
        <v>6518</v>
      </c>
      <c r="AB153" s="33">
        <f>1777+386</f>
        <v>2163</v>
      </c>
      <c r="AC153" s="33">
        <v>1025</v>
      </c>
      <c r="AD153" s="33">
        <v>0</v>
      </c>
      <c r="AE153" s="33" t="s">
        <v>26</v>
      </c>
      <c r="AF153" s="93">
        <f>SUM(Z153:AE153)</f>
        <v>20616</v>
      </c>
    </row>
    <row r="154" spans="2:32" ht="15.75" customHeight="1">
      <c r="B154" s="9"/>
      <c r="C154" s="48" t="s">
        <v>190</v>
      </c>
      <c r="D154" s="484">
        <v>533</v>
      </c>
      <c r="E154" s="484">
        <v>432</v>
      </c>
      <c r="F154" s="484">
        <v>82</v>
      </c>
      <c r="G154" s="484">
        <v>912</v>
      </c>
      <c r="H154" s="680"/>
      <c r="I154" s="484">
        <v>654</v>
      </c>
      <c r="J154" s="681"/>
      <c r="K154" s="518">
        <f>SUM(D154:J154)</f>
        <v>2613</v>
      </c>
      <c r="L154" s="33" t="s">
        <v>191</v>
      </c>
      <c r="M154" s="33" t="s">
        <v>191</v>
      </c>
      <c r="N154" s="33" t="s">
        <v>191</v>
      </c>
      <c r="O154" s="660"/>
      <c r="P154" s="33">
        <v>200</v>
      </c>
      <c r="Q154" s="660"/>
      <c r="R154" s="93">
        <f>SUM(L154:Q154)</f>
        <v>200</v>
      </c>
      <c r="S154" s="33">
        <f>188+287</f>
        <v>475</v>
      </c>
      <c r="T154" s="33">
        <f>627+210</f>
        <v>837</v>
      </c>
      <c r="U154" s="33">
        <f>2309+92</f>
        <v>2401</v>
      </c>
      <c r="V154" s="33">
        <f>1836+414</f>
        <v>2250</v>
      </c>
      <c r="W154" s="33">
        <f>82+22</f>
        <v>104</v>
      </c>
      <c r="X154" s="660"/>
      <c r="Y154" s="93">
        <f>SUM(S154:X154)</f>
        <v>6067</v>
      </c>
      <c r="Z154" s="33">
        <v>2567</v>
      </c>
      <c r="AA154" s="33">
        <v>2702</v>
      </c>
      <c r="AB154" s="33">
        <v>2582</v>
      </c>
      <c r="AC154" s="33">
        <v>2638</v>
      </c>
      <c r="AD154" s="33">
        <v>0</v>
      </c>
      <c r="AE154" s="33" t="s">
        <v>26</v>
      </c>
      <c r="AF154" s="93">
        <f>SUM(Z154:AE154)</f>
        <v>10489</v>
      </c>
    </row>
    <row r="155" spans="2:32" ht="15.75" customHeight="1">
      <c r="B155" s="13"/>
      <c r="C155" s="13" t="s">
        <v>192</v>
      </c>
      <c r="D155" s="503">
        <f>SUM(D152:D154)</f>
        <v>26904</v>
      </c>
      <c r="E155" s="503">
        <f>SUM(E152:E154)</f>
        <v>27571</v>
      </c>
      <c r="F155" s="503">
        <f>SUM(F152:F154)</f>
        <v>45162</v>
      </c>
      <c r="G155" s="503">
        <f>SUM(G152:G154)</f>
        <v>197680</v>
      </c>
      <c r="H155" s="648"/>
      <c r="I155" s="503">
        <f>SUM(I152:I154)</f>
        <v>1966</v>
      </c>
      <c r="J155" s="682"/>
      <c r="K155" s="521">
        <f>SUM(K152:K154)</f>
        <v>299283</v>
      </c>
      <c r="L155" s="54">
        <f>SUM(L152:L154)</f>
        <v>42079</v>
      </c>
      <c r="M155" s="54">
        <f>SUM(M152:M154)</f>
        <v>29264</v>
      </c>
      <c r="N155" s="54">
        <f>SUM(N152:N154)</f>
        <v>59746</v>
      </c>
      <c r="O155" s="661"/>
      <c r="P155" s="54">
        <f>SUM(P152:P154)</f>
        <v>200</v>
      </c>
      <c r="Q155" s="661"/>
      <c r="R155" s="459">
        <f t="shared" ref="R155:W155" si="82">SUM(R152:R154)</f>
        <v>131289</v>
      </c>
      <c r="S155" s="54">
        <f t="shared" si="82"/>
        <v>28849</v>
      </c>
      <c r="T155" s="54">
        <f t="shared" si="82"/>
        <v>27778</v>
      </c>
      <c r="U155" s="54">
        <f t="shared" si="82"/>
        <v>10202</v>
      </c>
      <c r="V155" s="54">
        <f t="shared" si="82"/>
        <v>2470</v>
      </c>
      <c r="W155" s="54">
        <f t="shared" si="82"/>
        <v>1047</v>
      </c>
      <c r="X155" s="661"/>
      <c r="Y155" s="460">
        <f t="shared" ref="Y155:AD155" si="83">SUM(Y152:Y154)</f>
        <v>70346</v>
      </c>
      <c r="Z155" s="54">
        <f t="shared" si="83"/>
        <v>23634</v>
      </c>
      <c r="AA155" s="54">
        <f t="shared" si="83"/>
        <v>22765</v>
      </c>
      <c r="AB155" s="54">
        <f t="shared" si="83"/>
        <v>6425</v>
      </c>
      <c r="AC155" s="54">
        <f t="shared" si="83"/>
        <v>3801</v>
      </c>
      <c r="AD155" s="54">
        <f t="shared" si="83"/>
        <v>1048</v>
      </c>
      <c r="AE155" s="50" t="s">
        <v>26</v>
      </c>
      <c r="AF155" s="460">
        <f>SUM(AF152:AF154)</f>
        <v>57673</v>
      </c>
    </row>
    <row r="156" spans="2:32" ht="14" customHeight="1">
      <c r="B156" s="683" t="s">
        <v>173</v>
      </c>
      <c r="C156" s="683"/>
      <c r="D156" s="343"/>
      <c r="E156" s="343"/>
      <c r="F156" s="343"/>
      <c r="G156" s="343"/>
      <c r="H156" s="343"/>
      <c r="I156" s="343"/>
      <c r="J156" s="343"/>
      <c r="K156" s="487"/>
      <c r="L156" s="343"/>
      <c r="M156" s="343"/>
      <c r="N156" s="343"/>
      <c r="O156" s="343"/>
      <c r="P156" s="343"/>
      <c r="Q156" s="343"/>
      <c r="R156" s="487"/>
      <c r="S156" s="487"/>
      <c r="T156" s="487"/>
      <c r="U156" s="487"/>
      <c r="V156" s="487"/>
      <c r="W156" s="487"/>
      <c r="X156" s="487"/>
      <c r="Y156" s="487"/>
      <c r="Z156" s="487"/>
      <c r="AA156" s="487"/>
      <c r="AB156" s="487"/>
      <c r="AC156" s="487"/>
      <c r="AD156" s="487"/>
      <c r="AE156" s="487"/>
      <c r="AF156" s="487"/>
    </row>
    <row r="157" spans="2:32" ht="15.75" customHeight="1" thickBot="1">
      <c r="B157" s="450"/>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row>
    <row r="158" spans="2:32" ht="15.75" customHeight="1">
      <c r="B158" s="7" t="s">
        <v>193</v>
      </c>
      <c r="C158" s="8"/>
      <c r="D158" s="506"/>
      <c r="E158" s="506"/>
      <c r="F158" s="506"/>
      <c r="G158" s="506"/>
      <c r="H158" s="441"/>
      <c r="I158" s="506"/>
      <c r="J158" s="506"/>
      <c r="K158" s="507"/>
      <c r="L158" s="441"/>
      <c r="M158" s="441"/>
      <c r="N158" s="441"/>
      <c r="O158" s="441"/>
      <c r="P158" s="441"/>
      <c r="Q158" s="441"/>
      <c r="R158" s="59"/>
      <c r="S158" s="59"/>
      <c r="T158" s="59"/>
      <c r="U158" s="59"/>
      <c r="V158" s="59"/>
      <c r="W158" s="59"/>
      <c r="X158" s="59"/>
      <c r="Y158" s="59"/>
      <c r="Z158" s="59"/>
      <c r="AA158" s="59"/>
      <c r="AB158" s="59"/>
      <c r="AC158" s="59"/>
      <c r="AD158" s="59"/>
      <c r="AE158" s="59"/>
      <c r="AF158" s="59"/>
    </row>
    <row r="159" spans="2:32" ht="15.75" customHeight="1">
      <c r="B159" s="9"/>
      <c r="C159" s="48" t="s">
        <v>194</v>
      </c>
      <c r="D159" s="484">
        <v>9359</v>
      </c>
      <c r="E159" s="484">
        <v>4700</v>
      </c>
      <c r="F159" s="484">
        <v>9359</v>
      </c>
      <c r="G159" s="484">
        <v>108280</v>
      </c>
      <c r="H159" s="655" t="s">
        <v>263</v>
      </c>
      <c r="I159" s="530">
        <v>0</v>
      </c>
      <c r="J159" s="649" t="s">
        <v>26</v>
      </c>
      <c r="K159" s="518">
        <f>SUM(D159:J159)</f>
        <v>131698</v>
      </c>
      <c r="L159" s="29">
        <v>9013</v>
      </c>
      <c r="M159" s="29">
        <v>4867</v>
      </c>
      <c r="N159" s="29">
        <v>11550</v>
      </c>
      <c r="O159" s="29">
        <v>0</v>
      </c>
      <c r="P159" s="29">
        <v>8</v>
      </c>
      <c r="Q159" s="659" t="s">
        <v>93</v>
      </c>
      <c r="R159" s="93">
        <f>SUM(L159:Q159)</f>
        <v>25438</v>
      </c>
      <c r="S159" s="477">
        <v>2905</v>
      </c>
      <c r="T159" s="33">
        <v>1764</v>
      </c>
      <c r="U159" s="33">
        <v>5808</v>
      </c>
      <c r="V159" s="33">
        <v>0</v>
      </c>
      <c r="W159" s="33">
        <v>60</v>
      </c>
      <c r="X159" s="33" t="s">
        <v>26</v>
      </c>
      <c r="Y159" s="93">
        <f>SUM(S159:X159)</f>
        <v>10537</v>
      </c>
      <c r="Z159" s="33">
        <v>16134</v>
      </c>
      <c r="AA159" s="33">
        <v>4644</v>
      </c>
      <c r="AB159" s="33">
        <v>2647</v>
      </c>
      <c r="AC159" s="33">
        <v>0</v>
      </c>
      <c r="AD159" s="33">
        <v>0</v>
      </c>
      <c r="AE159" s="33" t="s">
        <v>26</v>
      </c>
      <c r="AF159" s="93">
        <f>SUM(Z159:AE159)</f>
        <v>23425</v>
      </c>
    </row>
    <row r="160" spans="2:32" ht="15.75" customHeight="1">
      <c r="B160" s="9"/>
      <c r="C160" s="48" t="s">
        <v>195</v>
      </c>
      <c r="D160" s="484">
        <v>1776</v>
      </c>
      <c r="E160" s="484">
        <v>988</v>
      </c>
      <c r="F160" s="484">
        <v>11832</v>
      </c>
      <c r="G160" s="484">
        <v>8200</v>
      </c>
      <c r="H160" s="655"/>
      <c r="I160" s="530">
        <v>136</v>
      </c>
      <c r="J160" s="650"/>
      <c r="K160" s="518">
        <f>SUM(D160:J160)</f>
        <v>22932</v>
      </c>
      <c r="L160" s="29">
        <v>1991</v>
      </c>
      <c r="M160" s="29">
        <v>749</v>
      </c>
      <c r="N160" s="29">
        <v>1869</v>
      </c>
      <c r="O160" s="29">
        <v>640</v>
      </c>
      <c r="P160" s="29">
        <v>96</v>
      </c>
      <c r="Q160" s="660"/>
      <c r="R160" s="93">
        <f>SUM(L160:Q160)</f>
        <v>5345</v>
      </c>
      <c r="S160" s="33">
        <v>465</v>
      </c>
      <c r="T160" s="33">
        <v>220</v>
      </c>
      <c r="U160" s="33">
        <v>930</v>
      </c>
      <c r="V160" s="33">
        <v>136</v>
      </c>
      <c r="W160" s="33">
        <f>286+62</f>
        <v>348</v>
      </c>
      <c r="X160" s="33" t="s">
        <v>26</v>
      </c>
      <c r="Y160" s="93">
        <f>SUM(S160:X160)</f>
        <v>2099</v>
      </c>
      <c r="Z160" s="33">
        <f>2394+657</f>
        <v>3051</v>
      </c>
      <c r="AA160" s="33">
        <v>1647</v>
      </c>
      <c r="AB160" s="33">
        <v>200</v>
      </c>
      <c r="AC160" s="33">
        <v>179</v>
      </c>
      <c r="AD160" s="33">
        <v>240</v>
      </c>
      <c r="AE160" s="33" t="s">
        <v>26</v>
      </c>
      <c r="AF160" s="93">
        <f>SUM(Z160:AE160)</f>
        <v>5317</v>
      </c>
    </row>
    <row r="161" spans="2:32" ht="15.75" customHeight="1">
      <c r="B161" s="13"/>
      <c r="C161" s="49" t="s">
        <v>196</v>
      </c>
      <c r="D161" s="503">
        <f>SUM(D159:D160)</f>
        <v>11135</v>
      </c>
      <c r="E161" s="503">
        <f>SUM(E159:E160)</f>
        <v>5688</v>
      </c>
      <c r="F161" s="503">
        <f>SUM(F159:F160)</f>
        <v>21191</v>
      </c>
      <c r="G161" s="503">
        <f>SUM(G159:G160)</f>
        <v>116480</v>
      </c>
      <c r="H161" s="656"/>
      <c r="I161" s="531">
        <f>SUM(I159:I160)</f>
        <v>136</v>
      </c>
      <c r="J161" s="651"/>
      <c r="K161" s="521">
        <f t="shared" ref="K161:P161" si="84">SUM(K159:K160)</f>
        <v>154630</v>
      </c>
      <c r="L161" s="508">
        <f t="shared" si="84"/>
        <v>11004</v>
      </c>
      <c r="M161" s="508">
        <f t="shared" si="84"/>
        <v>5616</v>
      </c>
      <c r="N161" s="508">
        <f t="shared" si="84"/>
        <v>13419</v>
      </c>
      <c r="O161" s="508">
        <f t="shared" si="84"/>
        <v>640</v>
      </c>
      <c r="P161" s="508">
        <f t="shared" si="84"/>
        <v>104</v>
      </c>
      <c r="Q161" s="661"/>
      <c r="R161" s="460">
        <f t="shared" ref="R161:W161" si="85">SUM(R159:R160)</f>
        <v>30783</v>
      </c>
      <c r="S161" s="54">
        <f t="shared" si="85"/>
        <v>3370</v>
      </c>
      <c r="T161" s="54">
        <f t="shared" si="85"/>
        <v>1984</v>
      </c>
      <c r="U161" s="54">
        <f t="shared" si="85"/>
        <v>6738</v>
      </c>
      <c r="V161" s="54">
        <f t="shared" si="85"/>
        <v>136</v>
      </c>
      <c r="W161" s="54">
        <f t="shared" si="85"/>
        <v>408</v>
      </c>
      <c r="X161" s="33" t="s">
        <v>26</v>
      </c>
      <c r="Y161" s="460">
        <f t="shared" ref="Y161:AD161" si="86">SUM(Y159:Y160)</f>
        <v>12636</v>
      </c>
      <c r="Z161" s="54">
        <f t="shared" si="86"/>
        <v>19185</v>
      </c>
      <c r="AA161" s="54">
        <f t="shared" si="86"/>
        <v>6291</v>
      </c>
      <c r="AB161" s="54">
        <f t="shared" si="86"/>
        <v>2847</v>
      </c>
      <c r="AC161" s="54">
        <f t="shared" si="86"/>
        <v>179</v>
      </c>
      <c r="AD161" s="54">
        <f t="shared" si="86"/>
        <v>240</v>
      </c>
      <c r="AE161" s="33" t="s">
        <v>26</v>
      </c>
      <c r="AF161" s="460">
        <f>SUM(AF159:AF160)</f>
        <v>28742</v>
      </c>
    </row>
    <row r="162" spans="2:32" ht="15.75" customHeight="1" thickBot="1">
      <c r="B162" s="285"/>
      <c r="C162" s="286"/>
      <c r="D162" s="306"/>
      <c r="E162" s="306"/>
      <c r="F162" s="306"/>
      <c r="G162" s="306"/>
      <c r="H162" s="306"/>
      <c r="I162" s="306"/>
      <c r="J162" s="306"/>
      <c r="K162" s="313"/>
      <c r="L162" s="306"/>
      <c r="M162" s="306"/>
      <c r="N162" s="306"/>
      <c r="O162" s="306"/>
      <c r="P162" s="306"/>
      <c r="Q162" s="306"/>
      <c r="R162" s="313"/>
      <c r="S162" s="313"/>
      <c r="T162" s="313"/>
      <c r="U162" s="313"/>
      <c r="V162" s="313"/>
      <c r="W162" s="313"/>
      <c r="X162" s="313"/>
      <c r="Y162" s="313"/>
      <c r="Z162" s="313"/>
      <c r="AA162" s="313"/>
      <c r="AB162" s="313"/>
      <c r="AC162" s="313"/>
      <c r="AD162" s="313"/>
      <c r="AE162" s="313"/>
      <c r="AF162" s="313"/>
    </row>
    <row r="163" spans="2:32" ht="16">
      <c r="B163" s="7" t="s">
        <v>599</v>
      </c>
      <c r="C163" s="8"/>
      <c r="D163" s="441"/>
      <c r="E163" s="441"/>
      <c r="F163" s="441"/>
      <c r="G163" s="441"/>
      <c r="H163" s="441"/>
      <c r="I163" s="441"/>
      <c r="J163" s="441"/>
      <c r="K163" s="59"/>
      <c r="L163" s="441"/>
      <c r="M163" s="441"/>
      <c r="N163" s="441"/>
      <c r="O163" s="441"/>
      <c r="P163" s="441"/>
      <c r="Q163" s="441"/>
      <c r="R163" s="59"/>
      <c r="S163" s="59"/>
      <c r="T163" s="59"/>
      <c r="U163" s="59"/>
      <c r="V163" s="59"/>
      <c r="W163" s="59"/>
      <c r="X163" s="59"/>
      <c r="Y163" s="59"/>
      <c r="Z163" s="59"/>
      <c r="AA163" s="59"/>
      <c r="AB163" s="59"/>
      <c r="AC163" s="59"/>
      <c r="AD163" s="59"/>
      <c r="AE163" s="59"/>
      <c r="AF163" s="59"/>
    </row>
    <row r="164" spans="2:32" ht="30" customHeight="1">
      <c r="B164" s="9"/>
      <c r="C164" s="10" t="s">
        <v>197</v>
      </c>
      <c r="D164" s="386">
        <f>36+2</f>
        <v>38</v>
      </c>
      <c r="E164" s="647" t="s">
        <v>601</v>
      </c>
      <c r="F164" s="386">
        <f>33+8</f>
        <v>41</v>
      </c>
      <c r="G164" s="386">
        <v>82</v>
      </c>
      <c r="H164" s="386">
        <f>6+1</f>
        <v>7</v>
      </c>
      <c r="I164" s="386">
        <f>35+2</f>
        <v>37</v>
      </c>
      <c r="J164" s="386">
        <f>+J15</f>
        <v>7</v>
      </c>
      <c r="K164" s="518">
        <f>SUM(D164:J164)</f>
        <v>212</v>
      </c>
      <c r="L164" s="384">
        <v>113</v>
      </c>
      <c r="M164" s="384">
        <v>84</v>
      </c>
      <c r="N164" s="384">
        <v>110</v>
      </c>
      <c r="O164" s="384">
        <v>22</v>
      </c>
      <c r="P164" s="384">
        <v>39</v>
      </c>
      <c r="Q164" s="384">
        <f>+Q15</f>
        <v>8</v>
      </c>
      <c r="R164" s="93">
        <f>SUM(L164:Q164)</f>
        <v>376</v>
      </c>
      <c r="S164" s="33">
        <v>117</v>
      </c>
      <c r="T164" s="33">
        <v>89</v>
      </c>
      <c r="U164" s="33">
        <v>37</v>
      </c>
      <c r="V164" s="33">
        <v>45</v>
      </c>
      <c r="W164" s="33">
        <v>20</v>
      </c>
      <c r="X164" s="33">
        <f>X44</f>
        <v>9</v>
      </c>
      <c r="Y164" s="93">
        <f>SUM(S164:X164)</f>
        <v>317</v>
      </c>
      <c r="Z164" s="33">
        <f t="shared" ref="Z164:AC165" si="87">Z44</f>
        <v>124</v>
      </c>
      <c r="AA164" s="33">
        <f t="shared" si="87"/>
        <v>89</v>
      </c>
      <c r="AB164" s="33">
        <f t="shared" si="87"/>
        <v>44</v>
      </c>
      <c r="AC164" s="33">
        <f t="shared" si="87"/>
        <v>50</v>
      </c>
      <c r="AD164" s="33">
        <v>7</v>
      </c>
      <c r="AE164" s="33">
        <f>AE44</f>
        <v>18</v>
      </c>
      <c r="AF164" s="93">
        <f>SUM(Z164:AE164)</f>
        <v>332</v>
      </c>
    </row>
    <row r="165" spans="2:32" ht="30" customHeight="1">
      <c r="B165" s="10"/>
      <c r="C165" s="10" t="s">
        <v>198</v>
      </c>
      <c r="D165" s="386">
        <v>120</v>
      </c>
      <c r="E165" s="648"/>
      <c r="F165" s="386">
        <v>137</v>
      </c>
      <c r="G165" s="386">
        <v>13</v>
      </c>
      <c r="H165" s="386">
        <v>18</v>
      </c>
      <c r="I165" s="386">
        <v>41</v>
      </c>
      <c r="J165" s="386">
        <f>+J16</f>
        <v>13</v>
      </c>
      <c r="K165" s="518">
        <f>SUM(D165:J165)</f>
        <v>342</v>
      </c>
      <c r="L165" s="384">
        <v>31</v>
      </c>
      <c r="M165" s="384">
        <v>21</v>
      </c>
      <c r="N165" s="384">
        <v>21</v>
      </c>
      <c r="O165" s="384">
        <v>8</v>
      </c>
      <c r="P165" s="384">
        <v>34</v>
      </c>
      <c r="Q165" s="384">
        <f>+Q16</f>
        <v>11</v>
      </c>
      <c r="R165" s="93">
        <f>SUM(L165:Q165)</f>
        <v>126</v>
      </c>
      <c r="S165" s="33">
        <v>30</v>
      </c>
      <c r="T165" s="33">
        <v>22</v>
      </c>
      <c r="U165" s="33">
        <v>7</v>
      </c>
      <c r="V165" s="33">
        <v>30</v>
      </c>
      <c r="W165" s="33">
        <v>6</v>
      </c>
      <c r="X165" s="33">
        <f>X45</f>
        <v>10</v>
      </c>
      <c r="Y165" s="93">
        <f>SUM(S165:X165)</f>
        <v>105</v>
      </c>
      <c r="Z165" s="33">
        <f t="shared" si="87"/>
        <v>32</v>
      </c>
      <c r="AA165" s="33">
        <f t="shared" si="87"/>
        <v>23</v>
      </c>
      <c r="AB165" s="33">
        <f t="shared" si="87"/>
        <v>10</v>
      </c>
      <c r="AC165" s="33">
        <f t="shared" si="87"/>
        <v>32</v>
      </c>
      <c r="AD165" s="33">
        <v>4</v>
      </c>
      <c r="AE165" s="33">
        <f>AE45</f>
        <v>7</v>
      </c>
      <c r="AF165" s="93">
        <f>SUM(Z165:AE165)</f>
        <v>108</v>
      </c>
    </row>
    <row r="166" spans="2:32" ht="15.75" customHeight="1">
      <c r="B166" s="10"/>
      <c r="C166" s="10" t="s">
        <v>199</v>
      </c>
      <c r="D166" s="484">
        <f t="shared" ref="D166:J166" si="88">SUM(D164:D165)</f>
        <v>158</v>
      </c>
      <c r="E166" s="530">
        <f t="shared" si="88"/>
        <v>0</v>
      </c>
      <c r="F166" s="484">
        <f t="shared" si="88"/>
        <v>178</v>
      </c>
      <c r="G166" s="484">
        <f t="shared" si="88"/>
        <v>95</v>
      </c>
      <c r="H166" s="484">
        <f t="shared" si="88"/>
        <v>25</v>
      </c>
      <c r="I166" s="484">
        <f t="shared" si="88"/>
        <v>78</v>
      </c>
      <c r="J166" s="484">
        <f t="shared" si="88"/>
        <v>20</v>
      </c>
      <c r="K166" s="518">
        <f>SUM(K164:K165)</f>
        <v>554</v>
      </c>
      <c r="L166" s="384">
        <f t="shared" ref="L166:Q166" si="89">+L164+L165</f>
        <v>144</v>
      </c>
      <c r="M166" s="384">
        <f t="shared" si="89"/>
        <v>105</v>
      </c>
      <c r="N166" s="384">
        <f t="shared" si="89"/>
        <v>131</v>
      </c>
      <c r="O166" s="384">
        <f t="shared" si="89"/>
        <v>30</v>
      </c>
      <c r="P166" s="384">
        <f t="shared" si="89"/>
        <v>73</v>
      </c>
      <c r="Q166" s="384">
        <f t="shared" si="89"/>
        <v>19</v>
      </c>
      <c r="R166" s="93">
        <f t="shared" ref="R166:AF166" si="90">SUM(R164:R165)</f>
        <v>502</v>
      </c>
      <c r="S166" s="33">
        <f t="shared" si="90"/>
        <v>147</v>
      </c>
      <c r="T166" s="33">
        <f t="shared" si="90"/>
        <v>111</v>
      </c>
      <c r="U166" s="33">
        <f t="shared" si="90"/>
        <v>44</v>
      </c>
      <c r="V166" s="33">
        <f t="shared" si="90"/>
        <v>75</v>
      </c>
      <c r="W166" s="33">
        <f t="shared" si="90"/>
        <v>26</v>
      </c>
      <c r="X166" s="33">
        <f t="shared" si="90"/>
        <v>19</v>
      </c>
      <c r="Y166" s="93">
        <f t="shared" si="90"/>
        <v>422</v>
      </c>
      <c r="Z166" s="33">
        <f t="shared" si="90"/>
        <v>156</v>
      </c>
      <c r="AA166" s="33">
        <f t="shared" si="90"/>
        <v>112</v>
      </c>
      <c r="AB166" s="33">
        <f t="shared" si="90"/>
        <v>54</v>
      </c>
      <c r="AC166" s="33">
        <f t="shared" si="90"/>
        <v>82</v>
      </c>
      <c r="AD166" s="33">
        <f t="shared" si="90"/>
        <v>11</v>
      </c>
      <c r="AE166" s="33">
        <f t="shared" si="90"/>
        <v>25</v>
      </c>
      <c r="AF166" s="93">
        <f t="shared" si="90"/>
        <v>440</v>
      </c>
    </row>
    <row r="167" spans="2:32" ht="28.5" customHeight="1">
      <c r="B167" s="14"/>
      <c r="C167" s="14" t="s">
        <v>200</v>
      </c>
      <c r="D167" s="495">
        <f t="shared" ref="D167:J167" si="91">+D166/D17</f>
        <v>0.26554621848739496</v>
      </c>
      <c r="E167" s="495">
        <f t="shared" si="91"/>
        <v>0</v>
      </c>
      <c r="F167" s="495">
        <f t="shared" si="91"/>
        <v>0.37872340425531914</v>
      </c>
      <c r="G167" s="495">
        <f t="shared" si="91"/>
        <v>0.1448170731707317</v>
      </c>
      <c r="H167" s="495">
        <f t="shared" si="91"/>
        <v>0.26315789473684209</v>
      </c>
      <c r="I167" s="495">
        <f t="shared" si="91"/>
        <v>0.9285714285714286</v>
      </c>
      <c r="J167" s="495">
        <f t="shared" si="91"/>
        <v>1</v>
      </c>
      <c r="K167" s="520">
        <f>K166/K17</f>
        <v>0.22807739810621655</v>
      </c>
      <c r="L167" s="495">
        <f t="shared" ref="L167:Q167" si="92">+L166/L17</f>
        <v>0.25806451612903225</v>
      </c>
      <c r="M167" s="495">
        <f t="shared" si="92"/>
        <v>0.20958083832335328</v>
      </c>
      <c r="N167" s="495">
        <f t="shared" si="92"/>
        <v>0.43377483443708609</v>
      </c>
      <c r="O167" s="495">
        <f t="shared" si="92"/>
        <v>0.35714285714285715</v>
      </c>
      <c r="P167" s="495">
        <f t="shared" si="92"/>
        <v>0.9358974358974359</v>
      </c>
      <c r="Q167" s="495">
        <f t="shared" si="92"/>
        <v>1</v>
      </c>
      <c r="R167" s="509">
        <f t="shared" ref="R167:AF167" si="93">R166/R17</f>
        <v>0.32555123216601817</v>
      </c>
      <c r="S167" s="489">
        <f t="shared" si="93"/>
        <v>0.26156583629893237</v>
      </c>
      <c r="T167" s="489">
        <f t="shared" si="93"/>
        <v>0.22023809523809523</v>
      </c>
      <c r="U167" s="489">
        <f t="shared" si="93"/>
        <v>0.34920634920634919</v>
      </c>
      <c r="V167" s="489">
        <f t="shared" si="93"/>
        <v>0.90361445783132532</v>
      </c>
      <c r="W167" s="489">
        <f t="shared" si="93"/>
        <v>0.32098765432098764</v>
      </c>
      <c r="X167" s="489">
        <f t="shared" si="93"/>
        <v>1</v>
      </c>
      <c r="Y167" s="509">
        <f t="shared" si="93"/>
        <v>0.30690909090909091</v>
      </c>
      <c r="Z167" s="489">
        <f t="shared" si="93"/>
        <v>0.29050279329608941</v>
      </c>
      <c r="AA167" s="489">
        <f t="shared" si="93"/>
        <v>0.22266401590457258</v>
      </c>
      <c r="AB167" s="489">
        <f t="shared" si="93"/>
        <v>0.78260869565217395</v>
      </c>
      <c r="AC167" s="489">
        <f t="shared" si="93"/>
        <v>1</v>
      </c>
      <c r="AD167" s="489">
        <f t="shared" si="93"/>
        <v>0.15068493150684931</v>
      </c>
      <c r="AE167" s="489">
        <f t="shared" si="93"/>
        <v>1</v>
      </c>
      <c r="AF167" s="509">
        <f t="shared" si="93"/>
        <v>0.3413498836307215</v>
      </c>
    </row>
    <row r="168" spans="2:32" ht="15" customHeight="1">
      <c r="B168" s="23" t="s">
        <v>600</v>
      </c>
      <c r="C168" s="8"/>
      <c r="D168" s="441"/>
      <c r="E168" s="441"/>
      <c r="F168" s="441"/>
      <c r="G168" s="441"/>
      <c r="H168" s="441"/>
      <c r="I168" s="441"/>
      <c r="J168" s="441"/>
      <c r="K168" s="441"/>
      <c r="L168" s="441"/>
      <c r="M168" s="441"/>
      <c r="N168" s="441"/>
      <c r="O168" s="441"/>
      <c r="P168" s="441"/>
      <c r="Q168" s="441"/>
      <c r="R168" s="441"/>
      <c r="S168" s="59"/>
      <c r="T168" s="59"/>
      <c r="U168" s="59"/>
      <c r="V168" s="59"/>
      <c r="W168" s="59"/>
      <c r="X168" s="479"/>
      <c r="Y168" s="479"/>
      <c r="Z168" s="59"/>
      <c r="AA168" s="59"/>
      <c r="AB168" s="59"/>
      <c r="AC168" s="59"/>
      <c r="AD168" s="59"/>
      <c r="AE168" s="479"/>
      <c r="AF168" s="479"/>
    </row>
    <row r="169" spans="2:32" ht="17" customHeight="1">
      <c r="B169" s="658" t="s">
        <v>602</v>
      </c>
      <c r="C169" s="658"/>
      <c r="D169" s="658"/>
      <c r="E169" s="658"/>
      <c r="F169" s="658"/>
      <c r="G169" s="658"/>
      <c r="H169" s="658"/>
      <c r="I169" s="658"/>
      <c r="J169" s="658"/>
      <c r="K169" s="658"/>
      <c r="L169" s="455"/>
      <c r="M169" s="455"/>
      <c r="N169" s="455"/>
      <c r="O169" s="455"/>
      <c r="P169" s="455"/>
      <c r="Q169" s="455"/>
      <c r="R169" s="455"/>
      <c r="S169" s="456"/>
      <c r="T169" s="456"/>
      <c r="U169" s="456"/>
      <c r="V169" s="456"/>
      <c r="W169" s="456"/>
      <c r="X169" s="456"/>
      <c r="Y169" s="456"/>
      <c r="Z169" s="456"/>
      <c r="AA169" s="456"/>
      <c r="AB169" s="456"/>
      <c r="AC169" s="456"/>
      <c r="AD169" s="456"/>
      <c r="AE169" s="456"/>
      <c r="AF169" s="456"/>
    </row>
    <row r="170" spans="2:32" ht="15.75" customHeight="1" thickBot="1">
      <c r="B170" s="285"/>
      <c r="C170" s="286"/>
      <c r="D170" s="306"/>
      <c r="E170" s="306"/>
      <c r="F170" s="306"/>
      <c r="G170" s="306"/>
      <c r="H170" s="306"/>
      <c r="I170" s="306"/>
      <c r="J170" s="306"/>
      <c r="K170" s="313"/>
      <c r="L170" s="306"/>
      <c r="M170" s="306"/>
      <c r="N170" s="306"/>
      <c r="O170" s="306"/>
      <c r="P170" s="306"/>
      <c r="Q170" s="306"/>
      <c r="R170" s="313"/>
      <c r="S170" s="313"/>
      <c r="T170" s="313"/>
      <c r="U170" s="313"/>
      <c r="V170" s="313"/>
      <c r="W170" s="313"/>
      <c r="X170" s="313"/>
      <c r="Y170" s="313"/>
      <c r="Z170" s="313"/>
      <c r="AA170" s="313"/>
      <c r="AB170" s="313"/>
      <c r="AC170" s="313"/>
      <c r="AD170" s="313"/>
      <c r="AE170" s="313"/>
      <c r="AF170" s="313"/>
    </row>
    <row r="171" spans="2:32" ht="15.75" customHeight="1">
      <c r="B171" s="7" t="s">
        <v>201</v>
      </c>
      <c r="C171" s="8"/>
      <c r="D171" s="441"/>
      <c r="E171" s="441"/>
      <c r="F171" s="441"/>
      <c r="G171" s="441"/>
      <c r="H171" s="441"/>
      <c r="I171" s="441"/>
      <c r="J171" s="441"/>
      <c r="K171" s="59"/>
      <c r="L171" s="441"/>
      <c r="M171" s="441"/>
      <c r="N171" s="441"/>
      <c r="O171" s="441"/>
      <c r="P171" s="441"/>
      <c r="Q171" s="441"/>
      <c r="R171" s="59"/>
      <c r="S171" s="59"/>
      <c r="T171" s="59"/>
      <c r="U171" s="59"/>
      <c r="V171" s="59"/>
      <c r="W171" s="59"/>
      <c r="X171" s="59"/>
      <c r="Y171" s="59"/>
      <c r="Z171" s="59"/>
      <c r="AA171" s="59"/>
      <c r="AB171" s="59"/>
      <c r="AC171" s="59"/>
      <c r="AD171" s="59"/>
      <c r="AE171" s="59"/>
      <c r="AF171" s="59"/>
    </row>
    <row r="172" spans="2:32" ht="16">
      <c r="B172" s="9"/>
      <c r="C172" s="10" t="s">
        <v>603</v>
      </c>
      <c r="D172" s="528">
        <v>2</v>
      </c>
      <c r="E172" s="528">
        <v>1</v>
      </c>
      <c r="F172" s="528">
        <v>2</v>
      </c>
      <c r="G172" s="528">
        <v>0</v>
      </c>
      <c r="H172" s="528">
        <v>0</v>
      </c>
      <c r="I172" s="528">
        <v>1</v>
      </c>
      <c r="J172" s="528">
        <v>0</v>
      </c>
      <c r="K172" s="518">
        <f>SUM(D172:J172)</f>
        <v>6</v>
      </c>
      <c r="L172" s="510">
        <v>3</v>
      </c>
      <c r="M172" s="384">
        <v>1</v>
      </c>
      <c r="N172" s="384">
        <v>0</v>
      </c>
      <c r="O172" s="384">
        <v>0</v>
      </c>
      <c r="P172" s="384">
        <v>1</v>
      </c>
      <c r="Q172" s="384">
        <v>1</v>
      </c>
      <c r="R172" s="93">
        <f>SUM(L172:Q172)</f>
        <v>6</v>
      </c>
      <c r="S172" s="33">
        <v>5</v>
      </c>
      <c r="T172" s="33">
        <v>3</v>
      </c>
      <c r="U172" s="33">
        <v>1</v>
      </c>
      <c r="V172" s="33">
        <v>1</v>
      </c>
      <c r="W172" s="33">
        <v>1</v>
      </c>
      <c r="X172" s="33">
        <v>1</v>
      </c>
      <c r="Y172" s="93">
        <f>SUM(S172:X172)</f>
        <v>12</v>
      </c>
      <c r="Z172" s="33">
        <v>2</v>
      </c>
      <c r="AA172" s="33">
        <v>1</v>
      </c>
      <c r="AB172" s="33">
        <v>1</v>
      </c>
      <c r="AC172" s="33">
        <v>0</v>
      </c>
      <c r="AD172" s="33">
        <v>0</v>
      </c>
      <c r="AE172" s="33">
        <v>0</v>
      </c>
      <c r="AF172" s="93">
        <f>SUM(Z172:AE172)</f>
        <v>4</v>
      </c>
    </row>
    <row r="173" spans="2:32" ht="16">
      <c r="B173" s="9"/>
      <c r="C173" s="10" t="s">
        <v>604</v>
      </c>
      <c r="D173" s="528">
        <v>24</v>
      </c>
      <c r="E173" s="528">
        <v>11</v>
      </c>
      <c r="F173" s="528">
        <v>3</v>
      </c>
      <c r="G173" s="528">
        <v>27</v>
      </c>
      <c r="H173" s="528">
        <v>0</v>
      </c>
      <c r="I173" s="528">
        <v>1</v>
      </c>
      <c r="J173" s="528">
        <v>0</v>
      </c>
      <c r="K173" s="518">
        <f>SUM(D173:J173)</f>
        <v>66</v>
      </c>
      <c r="L173" s="510">
        <v>22</v>
      </c>
      <c r="M173" s="384">
        <v>11</v>
      </c>
      <c r="N173" s="384">
        <v>4</v>
      </c>
      <c r="O173" s="384">
        <v>0</v>
      </c>
      <c r="P173" s="384">
        <v>2</v>
      </c>
      <c r="Q173" s="384">
        <v>0</v>
      </c>
      <c r="R173" s="93">
        <f>SUM(L173:Q173)</f>
        <v>39</v>
      </c>
      <c r="S173" s="33">
        <v>25</v>
      </c>
      <c r="T173" s="33">
        <v>20</v>
      </c>
      <c r="U173" s="33">
        <v>2</v>
      </c>
      <c r="V173" s="33">
        <v>1</v>
      </c>
      <c r="W173" s="33">
        <v>4</v>
      </c>
      <c r="X173" s="33">
        <v>0</v>
      </c>
      <c r="Y173" s="93">
        <f>SUM(S173:X173)</f>
        <v>52</v>
      </c>
      <c r="Z173" s="33">
        <v>24</v>
      </c>
      <c r="AA173" s="33">
        <v>22</v>
      </c>
      <c r="AB173" s="33">
        <v>1</v>
      </c>
      <c r="AC173" s="33">
        <v>2</v>
      </c>
      <c r="AD173" s="33">
        <v>0</v>
      </c>
      <c r="AE173" s="33">
        <v>1</v>
      </c>
      <c r="AF173" s="93">
        <f>SUM(Z173:AE173)</f>
        <v>50</v>
      </c>
    </row>
    <row r="174" spans="2:32" ht="29" customHeight="1">
      <c r="B174" s="10"/>
      <c r="C174" s="10" t="s">
        <v>204</v>
      </c>
      <c r="D174" s="528">
        <v>25</v>
      </c>
      <c r="E174" s="528">
        <v>1</v>
      </c>
      <c r="F174" s="528">
        <v>3</v>
      </c>
      <c r="G174" s="528">
        <v>27</v>
      </c>
      <c r="H174" s="528">
        <v>1</v>
      </c>
      <c r="I174" s="528">
        <v>1</v>
      </c>
      <c r="J174" s="528">
        <v>0</v>
      </c>
      <c r="K174" s="518">
        <f>SUM(D174:J174)</f>
        <v>58</v>
      </c>
      <c r="L174" s="510">
        <v>25</v>
      </c>
      <c r="M174" s="384">
        <v>12</v>
      </c>
      <c r="N174" s="384">
        <v>4</v>
      </c>
      <c r="O174" s="384">
        <v>0</v>
      </c>
      <c r="P174" s="384">
        <v>3</v>
      </c>
      <c r="Q174" s="384">
        <v>0</v>
      </c>
      <c r="R174" s="93">
        <f>SUM(L174:Q174)</f>
        <v>44</v>
      </c>
      <c r="S174" s="33">
        <v>29</v>
      </c>
      <c r="T174" s="33">
        <v>23</v>
      </c>
      <c r="U174" s="33">
        <v>3</v>
      </c>
      <c r="V174" s="33">
        <v>2</v>
      </c>
      <c r="W174" s="33">
        <v>5</v>
      </c>
      <c r="X174" s="33">
        <v>0</v>
      </c>
      <c r="Y174" s="93">
        <f>SUM(S174:X174)</f>
        <v>62</v>
      </c>
      <c r="Z174" s="33">
        <v>26</v>
      </c>
      <c r="AA174" s="33">
        <v>23</v>
      </c>
      <c r="AB174" s="33">
        <v>2</v>
      </c>
      <c r="AC174" s="33">
        <v>0</v>
      </c>
      <c r="AD174" s="33">
        <v>0</v>
      </c>
      <c r="AE174" s="33">
        <v>0</v>
      </c>
      <c r="AF174" s="93">
        <f>SUM(Z174:AE174)</f>
        <v>51</v>
      </c>
    </row>
    <row r="175" spans="2:32" ht="29" customHeight="1">
      <c r="B175" s="14"/>
      <c r="C175" s="14" t="s">
        <v>205</v>
      </c>
      <c r="D175" s="495">
        <f>(D174)/(D173+D172)</f>
        <v>0.96153846153846156</v>
      </c>
      <c r="E175" s="495">
        <f>E174/(E173+E172)</f>
        <v>8.3333333333333329E-2</v>
      </c>
      <c r="F175" s="495">
        <f>F174/(F173+F172)</f>
        <v>0.6</v>
      </c>
      <c r="G175" s="495">
        <f>G174/(G173+G172)</f>
        <v>1</v>
      </c>
      <c r="H175" s="495">
        <v>0</v>
      </c>
      <c r="I175" s="495">
        <f>I174/(I173+I172)</f>
        <v>0.5</v>
      </c>
      <c r="J175" s="495">
        <v>0</v>
      </c>
      <c r="K175" s="520">
        <f>K174/(K173+K172)</f>
        <v>0.80555555555555558</v>
      </c>
      <c r="L175" s="495">
        <f>(L174)/(L173+L172)</f>
        <v>1</v>
      </c>
      <c r="M175" s="495">
        <f>M174/(M173+M172)</f>
        <v>1</v>
      </c>
      <c r="N175" s="495">
        <f>N174/(N173+N172)</f>
        <v>1</v>
      </c>
      <c r="O175" s="495">
        <v>0</v>
      </c>
      <c r="P175" s="495">
        <f t="shared" ref="P175:AC175" si="94">P174/(P173+P172)</f>
        <v>1</v>
      </c>
      <c r="Q175" s="495">
        <f t="shared" si="94"/>
        <v>0</v>
      </c>
      <c r="R175" s="509">
        <f t="shared" si="94"/>
        <v>0.97777777777777775</v>
      </c>
      <c r="S175" s="489">
        <f t="shared" si="94"/>
        <v>0.96666666666666667</v>
      </c>
      <c r="T175" s="489">
        <f t="shared" si="94"/>
        <v>1</v>
      </c>
      <c r="U175" s="489">
        <f t="shared" si="94"/>
        <v>1</v>
      </c>
      <c r="V175" s="489">
        <f t="shared" si="94"/>
        <v>1</v>
      </c>
      <c r="W175" s="489">
        <f t="shared" si="94"/>
        <v>1</v>
      </c>
      <c r="X175" s="489">
        <f t="shared" si="94"/>
        <v>0</v>
      </c>
      <c r="Y175" s="509">
        <f t="shared" si="94"/>
        <v>0.96875</v>
      </c>
      <c r="Z175" s="489">
        <f t="shared" si="94"/>
        <v>1</v>
      </c>
      <c r="AA175" s="489">
        <f t="shared" si="94"/>
        <v>1</v>
      </c>
      <c r="AB175" s="489">
        <f t="shared" si="94"/>
        <v>1</v>
      </c>
      <c r="AC175" s="489">
        <f t="shared" si="94"/>
        <v>0</v>
      </c>
      <c r="AD175" s="489" t="s">
        <v>26</v>
      </c>
      <c r="AE175" s="489">
        <f>AE174/(AE173+AE172)</f>
        <v>0</v>
      </c>
      <c r="AF175" s="509">
        <f>AF174/(AF173+AF172)</f>
        <v>0.94444444444444442</v>
      </c>
    </row>
    <row r="176" spans="2:32" ht="15.75" customHeight="1" thickBot="1">
      <c r="B176" s="285"/>
      <c r="C176" s="286"/>
      <c r="D176" s="306"/>
      <c r="E176" s="306"/>
      <c r="F176" s="306"/>
      <c r="G176" s="306"/>
      <c r="H176" s="306"/>
      <c r="I176" s="306"/>
      <c r="J176" s="306"/>
      <c r="K176" s="313"/>
      <c r="L176" s="306"/>
      <c r="M176" s="306"/>
      <c r="N176" s="306"/>
      <c r="O176" s="306"/>
      <c r="P176" s="306"/>
      <c r="Q176" s="306"/>
      <c r="R176" s="313"/>
      <c r="S176" s="313"/>
      <c r="T176" s="313"/>
      <c r="U176" s="313"/>
      <c r="V176" s="313"/>
      <c r="W176" s="313"/>
      <c r="X176" s="313"/>
      <c r="Y176" s="313"/>
      <c r="Z176" s="313"/>
      <c r="AA176" s="313"/>
      <c r="AB176" s="313"/>
      <c r="AC176" s="313"/>
      <c r="AD176" s="313"/>
      <c r="AE176" s="313"/>
      <c r="AF176" s="313"/>
    </row>
    <row r="177" spans="2:32" ht="15.75" customHeight="1">
      <c r="B177" s="7" t="s">
        <v>206</v>
      </c>
      <c r="C177" s="8"/>
      <c r="D177" s="441"/>
      <c r="E177" s="441"/>
      <c r="F177" s="441"/>
      <c r="G177" s="441"/>
      <c r="H177" s="441"/>
      <c r="I177" s="441"/>
      <c r="J177" s="441"/>
      <c r="K177" s="59"/>
      <c r="L177" s="441"/>
      <c r="M177" s="441"/>
      <c r="N177" s="441"/>
      <c r="O177" s="441"/>
      <c r="P177" s="441"/>
      <c r="Q177" s="441"/>
      <c r="R177" s="59"/>
      <c r="S177" s="59"/>
      <c r="T177" s="59"/>
      <c r="U177" s="59"/>
      <c r="V177" s="59"/>
      <c r="W177" s="59"/>
      <c r="X177" s="59"/>
      <c r="Y177" s="59"/>
      <c r="Z177" s="59"/>
      <c r="AA177" s="59"/>
      <c r="AB177" s="59"/>
      <c r="AC177" s="59"/>
      <c r="AD177" s="59"/>
      <c r="AE177" s="59"/>
      <c r="AF177" s="59"/>
    </row>
    <row r="178" spans="2:32" ht="15.75" customHeight="1">
      <c r="B178" s="9"/>
      <c r="C178" s="10" t="s">
        <v>207</v>
      </c>
      <c r="D178" s="511">
        <v>278.8</v>
      </c>
      <c r="E178" s="511">
        <v>278.8</v>
      </c>
      <c r="F178" s="511">
        <v>278.8</v>
      </c>
      <c r="G178" s="511">
        <v>1130</v>
      </c>
      <c r="H178" s="511">
        <v>278.8</v>
      </c>
      <c r="I178" s="511">
        <v>278.8</v>
      </c>
      <c r="J178" s="652" t="s">
        <v>263</v>
      </c>
      <c r="K178" s="516">
        <f>AVERAGE(D178:I178)</f>
        <v>420.66666666666674</v>
      </c>
      <c r="L178" s="511">
        <v>248.93</v>
      </c>
      <c r="M178" s="511">
        <v>248.93</v>
      </c>
      <c r="N178" s="511">
        <v>248.93</v>
      </c>
      <c r="O178" s="511">
        <v>248.93</v>
      </c>
      <c r="P178" s="511">
        <v>248.93</v>
      </c>
      <c r="Q178" s="659" t="s">
        <v>26</v>
      </c>
      <c r="R178" s="512">
        <f>AVERAGE(L178:P178)</f>
        <v>248.93</v>
      </c>
      <c r="S178" s="126">
        <v>207.44</v>
      </c>
      <c r="T178" s="126">
        <v>207.44</v>
      </c>
      <c r="U178" s="126">
        <v>207.44</v>
      </c>
      <c r="V178" s="126">
        <v>207.44</v>
      </c>
      <c r="W178" s="126">
        <v>207.44</v>
      </c>
      <c r="X178" s="659" t="s">
        <v>26</v>
      </c>
      <c r="Y178" s="512">
        <v>207.44</v>
      </c>
      <c r="Z178" s="126">
        <v>172.87</v>
      </c>
      <c r="AA178" s="126">
        <v>172.87</v>
      </c>
      <c r="AB178" s="126">
        <v>172.87</v>
      </c>
      <c r="AC178" s="126">
        <v>172.87</v>
      </c>
      <c r="AD178" s="126">
        <v>172.87</v>
      </c>
      <c r="AE178" s="659" t="s">
        <v>26</v>
      </c>
      <c r="AF178" s="512">
        <f>SUM(Z178:AE178)</f>
        <v>864.35</v>
      </c>
    </row>
    <row r="179" spans="2:32" ht="15.75" customHeight="1">
      <c r="B179" s="9"/>
      <c r="C179" s="10" t="s">
        <v>208</v>
      </c>
      <c r="D179" s="27">
        <v>0</v>
      </c>
      <c r="E179" s="27">
        <v>0</v>
      </c>
      <c r="F179" s="27">
        <v>0</v>
      </c>
      <c r="G179" s="27">
        <v>0</v>
      </c>
      <c r="H179" s="27">
        <v>0</v>
      </c>
      <c r="I179" s="27">
        <v>0</v>
      </c>
      <c r="J179" s="653"/>
      <c r="K179" s="517">
        <f>SUM(D179:J179)</f>
        <v>0</v>
      </c>
      <c r="L179" s="27">
        <v>0</v>
      </c>
      <c r="M179" s="27">
        <v>0</v>
      </c>
      <c r="N179" s="27">
        <v>0</v>
      </c>
      <c r="O179" s="27">
        <v>0</v>
      </c>
      <c r="P179" s="27">
        <v>0</v>
      </c>
      <c r="Q179" s="660"/>
      <c r="R179" s="28">
        <f>SUM(L179:Q179)</f>
        <v>0</v>
      </c>
      <c r="S179" s="29">
        <v>0</v>
      </c>
      <c r="T179" s="29">
        <v>0</v>
      </c>
      <c r="U179" s="29">
        <v>0</v>
      </c>
      <c r="V179" s="29">
        <v>0</v>
      </c>
      <c r="W179" s="29">
        <v>0</v>
      </c>
      <c r="X179" s="660"/>
      <c r="Y179" s="28">
        <f>SUM(S179:X179)</f>
        <v>0</v>
      </c>
      <c r="Z179" s="29">
        <v>0</v>
      </c>
      <c r="AA179" s="29">
        <v>0</v>
      </c>
      <c r="AB179" s="29">
        <v>0</v>
      </c>
      <c r="AC179" s="29">
        <v>0</v>
      </c>
      <c r="AD179" s="29">
        <v>0</v>
      </c>
      <c r="AE179" s="660"/>
      <c r="AF179" s="28">
        <f>SUM(Z179:AE179)</f>
        <v>0</v>
      </c>
    </row>
    <row r="180" spans="2:32" ht="15.75" customHeight="1">
      <c r="B180" s="9"/>
      <c r="C180" s="10" t="s">
        <v>210</v>
      </c>
      <c r="D180" s="511">
        <v>360.65</v>
      </c>
      <c r="E180" s="511">
        <v>350</v>
      </c>
      <c r="F180" s="511">
        <v>315</v>
      </c>
      <c r="G180" s="513">
        <v>1427</v>
      </c>
      <c r="H180" s="511">
        <v>180</v>
      </c>
      <c r="I180" s="511">
        <v>554.29999999999995</v>
      </c>
      <c r="J180" s="653"/>
      <c r="K180" s="516">
        <f>AVERAGE(D180:I180)</f>
        <v>531.1583333333333</v>
      </c>
      <c r="L180" s="511">
        <v>341.85</v>
      </c>
      <c r="M180" s="511">
        <v>378.62</v>
      </c>
      <c r="N180" s="511">
        <v>250</v>
      </c>
      <c r="O180" s="511">
        <v>335.4</v>
      </c>
      <c r="P180" s="511">
        <v>677.5</v>
      </c>
      <c r="Q180" s="660"/>
      <c r="R180" s="512">
        <f>AVERAGE(L180:P180)</f>
        <v>396.67399999999998</v>
      </c>
      <c r="S180" s="126">
        <v>322.5</v>
      </c>
      <c r="T180" s="126">
        <v>508.41</v>
      </c>
      <c r="U180" s="126">
        <v>324</v>
      </c>
      <c r="V180" s="126">
        <v>636.51</v>
      </c>
      <c r="W180" s="126">
        <v>250</v>
      </c>
      <c r="X180" s="660"/>
      <c r="Y180" s="512">
        <f>AVERAGE(S180:W180)</f>
        <v>408.28399999999999</v>
      </c>
      <c r="Z180" s="126">
        <v>300</v>
      </c>
      <c r="AA180" s="126">
        <v>472.94</v>
      </c>
      <c r="AB180" s="126">
        <v>315</v>
      </c>
      <c r="AC180" s="126">
        <v>600</v>
      </c>
      <c r="AD180" s="126">
        <v>733</v>
      </c>
      <c r="AE180" s="660"/>
      <c r="AF180" s="512">
        <f>SUM(Z180:AE180)</f>
        <v>2420.94</v>
      </c>
    </row>
    <row r="181" spans="2:32" ht="29" customHeight="1">
      <c r="B181" s="10"/>
      <c r="C181" s="10" t="s">
        <v>211</v>
      </c>
      <c r="D181" s="528">
        <v>0</v>
      </c>
      <c r="E181" s="528">
        <v>7</v>
      </c>
      <c r="F181" s="528">
        <v>3</v>
      </c>
      <c r="G181" s="529">
        <v>1</v>
      </c>
      <c r="H181" s="528">
        <v>16</v>
      </c>
      <c r="I181" s="528">
        <v>0</v>
      </c>
      <c r="J181" s="653"/>
      <c r="K181" s="518">
        <f>SUM(D181:J181)</f>
        <v>27</v>
      </c>
      <c r="L181" s="384">
        <v>0</v>
      </c>
      <c r="M181" s="384">
        <v>7</v>
      </c>
      <c r="N181" s="384">
        <v>16</v>
      </c>
      <c r="O181" s="384">
        <v>7</v>
      </c>
      <c r="P181" s="384">
        <v>1</v>
      </c>
      <c r="Q181" s="660"/>
      <c r="R181" s="93">
        <f>SUM(L181:Q181)</f>
        <v>31</v>
      </c>
      <c r="S181" s="33">
        <v>0</v>
      </c>
      <c r="T181" s="33">
        <v>22</v>
      </c>
      <c r="U181" s="33">
        <v>4</v>
      </c>
      <c r="V181" s="33">
        <v>1</v>
      </c>
      <c r="W181" s="33">
        <v>6</v>
      </c>
      <c r="X181" s="660"/>
      <c r="Y181" s="93">
        <f>SUM(S181:X181)</f>
        <v>33</v>
      </c>
      <c r="Z181" s="33">
        <v>1</v>
      </c>
      <c r="AA181" s="33">
        <v>26</v>
      </c>
      <c r="AB181" s="33">
        <v>6</v>
      </c>
      <c r="AC181" s="33">
        <v>2</v>
      </c>
      <c r="AD181" s="33">
        <v>0</v>
      </c>
      <c r="AE181" s="660"/>
      <c r="AF181" s="93">
        <f>SUM(Z181:AE181)</f>
        <v>35</v>
      </c>
    </row>
    <row r="182" spans="2:32" ht="30.75" customHeight="1">
      <c r="B182" s="10"/>
      <c r="C182" s="10" t="s">
        <v>212</v>
      </c>
      <c r="D182" s="528">
        <v>43</v>
      </c>
      <c r="E182" s="528">
        <v>0</v>
      </c>
      <c r="F182" s="528">
        <v>5</v>
      </c>
      <c r="G182" s="529">
        <v>0</v>
      </c>
      <c r="H182" s="528">
        <v>1</v>
      </c>
      <c r="I182" s="528">
        <v>1</v>
      </c>
      <c r="J182" s="653"/>
      <c r="K182" s="518">
        <f>SUM(D182:J182)</f>
        <v>50</v>
      </c>
      <c r="L182" s="384">
        <v>43</v>
      </c>
      <c r="M182" s="384">
        <v>0</v>
      </c>
      <c r="N182" s="384">
        <v>19</v>
      </c>
      <c r="O182" s="384">
        <v>2</v>
      </c>
      <c r="P182" s="384">
        <v>0</v>
      </c>
      <c r="Q182" s="660"/>
      <c r="R182" s="93">
        <f>SUM(L182:Q182)</f>
        <v>64</v>
      </c>
      <c r="S182" s="33">
        <v>43</v>
      </c>
      <c r="T182" s="33">
        <v>8</v>
      </c>
      <c r="U182" s="33">
        <v>5</v>
      </c>
      <c r="V182" s="33">
        <v>0</v>
      </c>
      <c r="W182" s="33">
        <v>0</v>
      </c>
      <c r="X182" s="660"/>
      <c r="Y182" s="93">
        <f>SUM(S182:X182)</f>
        <v>56</v>
      </c>
      <c r="Z182" s="33">
        <v>38</v>
      </c>
      <c r="AA182" s="33">
        <v>7</v>
      </c>
      <c r="AB182" s="33">
        <v>7</v>
      </c>
      <c r="AC182" s="33">
        <v>1</v>
      </c>
      <c r="AD182" s="33">
        <v>1</v>
      </c>
      <c r="AE182" s="660"/>
      <c r="AF182" s="93">
        <f>SUM(Z182:AE182)</f>
        <v>54</v>
      </c>
    </row>
    <row r="183" spans="2:32" ht="30">
      <c r="B183" s="10"/>
      <c r="C183" s="10" t="s">
        <v>213</v>
      </c>
      <c r="D183" s="386">
        <f t="shared" ref="D183:I183" si="95">SUM(D181:D182)</f>
        <v>43</v>
      </c>
      <c r="E183" s="386">
        <f t="shared" si="95"/>
        <v>7</v>
      </c>
      <c r="F183" s="386">
        <f t="shared" si="95"/>
        <v>8</v>
      </c>
      <c r="G183" s="386">
        <f t="shared" si="95"/>
        <v>1</v>
      </c>
      <c r="H183" s="386">
        <f t="shared" si="95"/>
        <v>17</v>
      </c>
      <c r="I183" s="386">
        <f t="shared" si="95"/>
        <v>1</v>
      </c>
      <c r="J183" s="653"/>
      <c r="K183" s="518">
        <f>SUM(K181:K182)</f>
        <v>77</v>
      </c>
      <c r="L183" s="384">
        <v>43</v>
      </c>
      <c r="M183" s="384">
        <v>9</v>
      </c>
      <c r="N183" s="384">
        <v>35</v>
      </c>
      <c r="O183" s="384">
        <v>9</v>
      </c>
      <c r="P183" s="384">
        <v>1</v>
      </c>
      <c r="Q183" s="660"/>
      <c r="R183" s="93">
        <f t="shared" ref="R183:W183" si="96">SUM(R181:R182)</f>
        <v>95</v>
      </c>
      <c r="S183" s="33">
        <f t="shared" si="96"/>
        <v>43</v>
      </c>
      <c r="T183" s="33">
        <f t="shared" si="96"/>
        <v>30</v>
      </c>
      <c r="U183" s="33">
        <f t="shared" si="96"/>
        <v>9</v>
      </c>
      <c r="V183" s="33">
        <f t="shared" si="96"/>
        <v>1</v>
      </c>
      <c r="W183" s="33">
        <f t="shared" si="96"/>
        <v>6</v>
      </c>
      <c r="X183" s="660"/>
      <c r="Y183" s="93">
        <f t="shared" ref="Y183:AD183" si="97">SUM(Y181:Y182)</f>
        <v>89</v>
      </c>
      <c r="Z183" s="33">
        <f t="shared" si="97"/>
        <v>39</v>
      </c>
      <c r="AA183" s="33">
        <f t="shared" si="97"/>
        <v>33</v>
      </c>
      <c r="AB183" s="33">
        <f t="shared" si="97"/>
        <v>13</v>
      </c>
      <c r="AC183" s="33">
        <f t="shared" si="97"/>
        <v>3</v>
      </c>
      <c r="AD183" s="33">
        <f t="shared" si="97"/>
        <v>1</v>
      </c>
      <c r="AE183" s="660"/>
      <c r="AF183" s="93">
        <f>SUM(AF181:AF182)</f>
        <v>89</v>
      </c>
    </row>
    <row r="184" spans="2:32" ht="30">
      <c r="B184" s="10"/>
      <c r="C184" s="14" t="s">
        <v>214</v>
      </c>
      <c r="D184" s="495">
        <f t="shared" ref="D184:I184" si="98">D183/D17</f>
        <v>7.2268907563025217E-2</v>
      </c>
      <c r="E184" s="495">
        <f t="shared" si="98"/>
        <v>1.37524557956778E-2</v>
      </c>
      <c r="F184" s="495">
        <f t="shared" si="98"/>
        <v>1.7021276595744681E-2</v>
      </c>
      <c r="G184" s="495">
        <f t="shared" si="98"/>
        <v>1.5243902439024391E-3</v>
      </c>
      <c r="H184" s="495">
        <f t="shared" si="98"/>
        <v>0.17894736842105263</v>
      </c>
      <c r="I184" s="495">
        <f t="shared" si="98"/>
        <v>1.1904761904761904E-2</v>
      </c>
      <c r="J184" s="654"/>
      <c r="K184" s="519">
        <f t="shared" ref="K184:P184" si="99">K183/K17</f>
        <v>3.1700288184438041E-2</v>
      </c>
      <c r="L184" s="495">
        <f t="shared" si="99"/>
        <v>7.7060931899641583E-2</v>
      </c>
      <c r="M184" s="495">
        <f t="shared" si="99"/>
        <v>1.7964071856287425E-2</v>
      </c>
      <c r="N184" s="495">
        <f t="shared" si="99"/>
        <v>0.11589403973509933</v>
      </c>
      <c r="O184" s="495">
        <f t="shared" si="99"/>
        <v>0.10714285714285714</v>
      </c>
      <c r="P184" s="495">
        <f t="shared" si="99"/>
        <v>1.282051282051282E-2</v>
      </c>
      <c r="Q184" s="661"/>
      <c r="R184" s="91">
        <f t="shared" ref="R184:W184" si="100">R183/R17</f>
        <v>6.1608300907911806E-2</v>
      </c>
      <c r="S184" s="92">
        <f t="shared" si="100"/>
        <v>7.6512455516014238E-2</v>
      </c>
      <c r="T184" s="92">
        <f t="shared" si="100"/>
        <v>5.9523809523809521E-2</v>
      </c>
      <c r="U184" s="92">
        <f t="shared" si="100"/>
        <v>7.1428571428571425E-2</v>
      </c>
      <c r="V184" s="92">
        <f t="shared" si="100"/>
        <v>1.2048192771084338E-2</v>
      </c>
      <c r="W184" s="92">
        <f t="shared" si="100"/>
        <v>7.407407407407407E-2</v>
      </c>
      <c r="X184" s="661"/>
      <c r="Y184" s="91">
        <f t="shared" ref="Y184:AD184" si="101">Y183/Y17</f>
        <v>6.4727272727272731E-2</v>
      </c>
      <c r="Z184" s="92">
        <f t="shared" si="101"/>
        <v>7.2625698324022353E-2</v>
      </c>
      <c r="AA184" s="92">
        <f t="shared" si="101"/>
        <v>6.560636182902585E-2</v>
      </c>
      <c r="AB184" s="92">
        <f t="shared" si="101"/>
        <v>0.18840579710144928</v>
      </c>
      <c r="AC184" s="92">
        <f t="shared" si="101"/>
        <v>3.6585365853658534E-2</v>
      </c>
      <c r="AD184" s="92">
        <f t="shared" si="101"/>
        <v>1.3698630136986301E-2</v>
      </c>
      <c r="AE184" s="661"/>
      <c r="AF184" s="91">
        <f>AF183/AF17</f>
        <v>6.9045771916214124E-2</v>
      </c>
    </row>
    <row r="185" spans="2:32" ht="15.75" customHeight="1" thickBot="1">
      <c r="B185" s="285"/>
      <c r="C185" s="286"/>
      <c r="D185" s="306"/>
      <c r="E185" s="306"/>
      <c r="F185" s="306"/>
      <c r="G185" s="306"/>
      <c r="H185" s="306"/>
      <c r="I185" s="306"/>
      <c r="J185" s="306"/>
      <c r="K185" s="468"/>
      <c r="L185" s="306"/>
      <c r="M185" s="306"/>
      <c r="N185" s="306"/>
      <c r="O185" s="306"/>
      <c r="P185" s="306"/>
      <c r="Q185" s="306"/>
      <c r="R185" s="468"/>
      <c r="S185" s="306"/>
      <c r="T185" s="468"/>
      <c r="U185" s="468"/>
      <c r="V185" s="468"/>
      <c r="W185" s="468"/>
      <c r="X185" s="468"/>
      <c r="Y185" s="468"/>
      <c r="Z185" s="306"/>
      <c r="AA185" s="468"/>
      <c r="AB185" s="468"/>
      <c r="AC185" s="468"/>
      <c r="AD185" s="468"/>
      <c r="AE185" s="468"/>
      <c r="AF185" s="468"/>
    </row>
    <row r="186" spans="2:32" ht="16">
      <c r="B186" s="684" t="s">
        <v>606</v>
      </c>
      <c r="C186" s="684"/>
      <c r="D186" s="684"/>
      <c r="E186" s="684"/>
      <c r="F186" s="684"/>
      <c r="G186" s="684"/>
      <c r="H186" s="684"/>
      <c r="I186" s="684"/>
      <c r="J186" s="684"/>
      <c r="K186" s="684"/>
      <c r="L186" s="441"/>
      <c r="M186" s="441"/>
      <c r="N186" s="441"/>
      <c r="O186" s="441"/>
      <c r="P186" s="441"/>
      <c r="Q186" s="441"/>
      <c r="R186" s="59"/>
      <c r="S186" s="59"/>
      <c r="T186" s="59"/>
      <c r="U186" s="59"/>
      <c r="V186" s="59"/>
      <c r="W186" s="59"/>
      <c r="X186" s="59"/>
      <c r="Y186" s="59"/>
      <c r="Z186" s="59"/>
      <c r="AA186" s="59"/>
      <c r="AB186" s="59"/>
      <c r="AC186" s="59"/>
      <c r="AD186" s="59"/>
      <c r="AE186" s="59"/>
      <c r="AF186" s="59"/>
    </row>
    <row r="187" spans="2:32" ht="16">
      <c r="B187" s="685" t="s">
        <v>605</v>
      </c>
      <c r="C187" s="685"/>
      <c r="D187" s="685"/>
      <c r="E187" s="685"/>
      <c r="F187" s="685"/>
      <c r="G187" s="685"/>
      <c r="H187" s="685"/>
      <c r="I187" s="685"/>
      <c r="J187" s="685"/>
      <c r="K187" s="685"/>
    </row>
  </sheetData>
  <sheetProtection algorithmName="SHA-512" hashValue="GLcDL80WFmmY1yoSujUveiTSwRsZiskJLN82/jtktNtttMpfHqnFbJ5Yya/ImynukouzHA8/dPD91+/JHGEYMQ==" saltValue="eQD1rCQ6D/GhVAitv+9XIA==" spinCount="100000" sheet="1" objects="1" scenarios="1"/>
  <mergeCells count="41">
    <mergeCell ref="J126:J133"/>
    <mergeCell ref="B156:C156"/>
    <mergeCell ref="B186:K186"/>
    <mergeCell ref="B187:K187"/>
    <mergeCell ref="B2:C2"/>
    <mergeCell ref="B13:C13"/>
    <mergeCell ref="Q121:Q123"/>
    <mergeCell ref="X121:X123"/>
    <mergeCell ref="AE121:AE123"/>
    <mergeCell ref="B4:C4"/>
    <mergeCell ref="J121:J123"/>
    <mergeCell ref="Q126:Q133"/>
    <mergeCell ref="O137:Q142"/>
    <mergeCell ref="V137:X142"/>
    <mergeCell ref="AC137:AE142"/>
    <mergeCell ref="O146:Q149"/>
    <mergeCell ref="O126:O133"/>
    <mergeCell ref="X146:X149"/>
    <mergeCell ref="AE178:AE184"/>
    <mergeCell ref="O152:O155"/>
    <mergeCell ref="Q152:Q155"/>
    <mergeCell ref="Q159:Q161"/>
    <mergeCell ref="X152:X155"/>
    <mergeCell ref="Q178:Q184"/>
    <mergeCell ref="X178:X184"/>
    <mergeCell ref="E164:E165"/>
    <mergeCell ref="J159:J161"/>
    <mergeCell ref="J178:J184"/>
    <mergeCell ref="H159:H161"/>
    <mergeCell ref="B11:F11"/>
    <mergeCell ref="B169:K169"/>
    <mergeCell ref="H152:H155"/>
    <mergeCell ref="J152:J155"/>
    <mergeCell ref="J137:J142"/>
    <mergeCell ref="J146:J149"/>
    <mergeCell ref="H137:H142"/>
    <mergeCell ref="I137:I142"/>
    <mergeCell ref="H146:H149"/>
    <mergeCell ref="B134:C134"/>
    <mergeCell ref="B143:C143"/>
    <mergeCell ref="H126:H133"/>
  </mergeCells>
  <conditionalFormatting sqref="A2:A187 B186">
    <cfRule type="cellIs" dxfId="7" priority="1" operator="equal">
      <formula>"✗"</formula>
    </cfRule>
  </conditionalFormatting>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74"/>
  <sheetViews>
    <sheetView showGridLines="0" zoomScaleNormal="100" workbookViewId="0">
      <selection activeCell="B2" sqref="B2:C2"/>
    </sheetView>
  </sheetViews>
  <sheetFormatPr baseColWidth="10" defaultColWidth="11.1640625" defaultRowHeight="16"/>
  <cols>
    <col min="1" max="2" width="4.5" customWidth="1"/>
    <col min="3" max="3" width="51" customWidth="1"/>
    <col min="4" max="8" width="10.83203125" customWidth="1"/>
    <col min="9" max="11" width="10.83203125" hidden="1" customWidth="1"/>
    <col min="12" max="12" width="10.83203125" customWidth="1"/>
    <col min="13" max="15" width="10.83203125" hidden="1" customWidth="1"/>
    <col min="16" max="16" width="10.83203125" customWidth="1"/>
    <col min="17" max="19" width="10.83203125" hidden="1" customWidth="1"/>
    <col min="20" max="20" width="10.83203125" customWidth="1"/>
    <col min="21" max="24" width="10.83203125" hidden="1" customWidth="1"/>
    <col min="25" max="26" width="10.83203125" customWidth="1"/>
  </cols>
  <sheetData>
    <row r="1" spans="2:26" ht="67" customHeight="1"/>
    <row r="2" spans="2:26">
      <c r="B2" s="643" t="s">
        <v>4</v>
      </c>
      <c r="C2" s="687"/>
      <c r="D2" s="282"/>
      <c r="E2" s="282"/>
      <c r="F2" s="282"/>
      <c r="G2" s="282"/>
      <c r="H2" s="282"/>
      <c r="I2" s="282"/>
      <c r="J2" s="282"/>
      <c r="K2" s="282"/>
      <c r="L2" s="282"/>
      <c r="M2" s="282"/>
      <c r="N2" s="282"/>
      <c r="O2" s="282"/>
      <c r="P2" s="282"/>
      <c r="Q2" s="282"/>
      <c r="R2" s="282"/>
      <c r="S2" s="282"/>
      <c r="T2" s="282"/>
      <c r="U2" s="282"/>
      <c r="V2" s="282"/>
      <c r="W2" s="282"/>
      <c r="X2" s="282"/>
      <c r="Y2" s="6"/>
      <c r="Z2" s="6"/>
    </row>
    <row r="3" spans="2:26">
      <c r="B3" s="4"/>
      <c r="C3" s="4"/>
      <c r="D3" s="4"/>
      <c r="E3" s="4"/>
      <c r="F3" s="4"/>
      <c r="G3" s="4"/>
      <c r="H3" s="4"/>
      <c r="I3" s="4"/>
      <c r="J3" s="4"/>
      <c r="K3" s="4"/>
      <c r="L3" s="4"/>
      <c r="M3" s="4"/>
      <c r="N3" s="4"/>
      <c r="O3" s="4"/>
      <c r="P3" s="4"/>
      <c r="Q3" s="4"/>
      <c r="R3" s="4"/>
      <c r="S3" s="4"/>
      <c r="T3" s="4"/>
      <c r="U3" s="4"/>
      <c r="V3" s="4"/>
      <c r="W3" s="4"/>
      <c r="X3" s="5"/>
      <c r="Y3" s="4"/>
      <c r="Z3" s="4"/>
    </row>
    <row r="4" spans="2:26" s="231" customFormat="1">
      <c r="B4" s="645" t="s">
        <v>5</v>
      </c>
      <c r="C4" s="646"/>
      <c r="D4" s="287" t="s">
        <v>19</v>
      </c>
      <c r="E4" s="292" t="s">
        <v>20</v>
      </c>
      <c r="F4" s="287" t="s">
        <v>21</v>
      </c>
      <c r="G4" s="287" t="s">
        <v>61</v>
      </c>
      <c r="H4" s="289" t="s">
        <v>6</v>
      </c>
      <c r="I4" s="287" t="s">
        <v>19</v>
      </c>
      <c r="J4" s="292" t="s">
        <v>20</v>
      </c>
      <c r="K4" s="287" t="s">
        <v>21</v>
      </c>
      <c r="L4" s="289" t="s">
        <v>7</v>
      </c>
      <c r="M4" s="287" t="s">
        <v>19</v>
      </c>
      <c r="N4" s="287" t="s">
        <v>20</v>
      </c>
      <c r="O4" s="287" t="s">
        <v>21</v>
      </c>
      <c r="P4" s="289" t="s">
        <v>8</v>
      </c>
      <c r="Q4" s="287" t="s">
        <v>19</v>
      </c>
      <c r="R4" s="287" t="s">
        <v>20</v>
      </c>
      <c r="S4" s="287" t="s">
        <v>21</v>
      </c>
      <c r="T4" s="289" t="s">
        <v>68</v>
      </c>
      <c r="U4" s="287" t="s">
        <v>218</v>
      </c>
      <c r="V4" s="287" t="s">
        <v>219</v>
      </c>
      <c r="W4" s="287" t="s">
        <v>220</v>
      </c>
      <c r="X4" s="289" t="s">
        <v>221</v>
      </c>
      <c r="Y4" s="233"/>
      <c r="Z4" s="233"/>
    </row>
    <row r="5" spans="2:26">
      <c r="B5" s="7" t="s">
        <v>222</v>
      </c>
      <c r="C5" s="8"/>
      <c r="D5" s="8"/>
      <c r="E5" s="8"/>
      <c r="F5" s="8"/>
      <c r="G5" s="8"/>
      <c r="H5" s="4"/>
      <c r="I5" s="8"/>
      <c r="J5" s="8"/>
      <c r="K5" s="8"/>
      <c r="L5" s="4"/>
      <c r="M5" s="4"/>
      <c r="N5" s="4"/>
      <c r="O5" s="4"/>
      <c r="P5" s="4"/>
      <c r="Q5" s="4"/>
      <c r="R5" s="4"/>
      <c r="S5" s="4"/>
      <c r="T5" s="4"/>
      <c r="U5" s="4"/>
      <c r="V5" s="4"/>
      <c r="W5" s="4"/>
      <c r="X5" s="4"/>
      <c r="Y5" s="4"/>
      <c r="Z5" s="4"/>
    </row>
    <row r="6" spans="2:26">
      <c r="B6" s="235"/>
      <c r="C6" s="10" t="s">
        <v>223</v>
      </c>
      <c r="D6" s="10">
        <v>9</v>
      </c>
      <c r="E6" s="10">
        <v>6</v>
      </c>
      <c r="F6" s="10">
        <v>7</v>
      </c>
      <c r="G6" s="10">
        <v>8</v>
      </c>
      <c r="H6" s="11">
        <f t="shared" ref="H6:H14" si="0">SUM(D6:G6)</f>
        <v>30</v>
      </c>
      <c r="I6" s="10">
        <v>17</v>
      </c>
      <c r="J6" s="10">
        <v>14</v>
      </c>
      <c r="K6" s="10">
        <v>9</v>
      </c>
      <c r="L6" s="11">
        <f t="shared" ref="L6:L14" si="1">SUM(I6:K6)</f>
        <v>40</v>
      </c>
      <c r="M6" s="9">
        <v>12</v>
      </c>
      <c r="N6" s="9">
        <v>7</v>
      </c>
      <c r="O6" s="9">
        <v>0</v>
      </c>
      <c r="P6" s="11">
        <f t="shared" ref="P6:P14" si="2">SUM(M6:O6)</f>
        <v>19</v>
      </c>
      <c r="Q6" s="9">
        <v>7</v>
      </c>
      <c r="R6" s="9">
        <v>7</v>
      </c>
      <c r="S6" s="9">
        <v>1</v>
      </c>
      <c r="T6" s="11">
        <f t="shared" ref="T6:T14" si="3">SUM(Q6:S6)</f>
        <v>15</v>
      </c>
      <c r="U6" s="9">
        <v>7</v>
      </c>
      <c r="V6" s="9">
        <v>5</v>
      </c>
      <c r="W6" s="9">
        <v>15</v>
      </c>
      <c r="X6" s="11">
        <f t="shared" ref="X6:X14" si="4">SUM(U6:W6)</f>
        <v>27</v>
      </c>
      <c r="Y6" s="4"/>
      <c r="Z6" s="331"/>
    </row>
    <row r="7" spans="2:26">
      <c r="B7" s="235"/>
      <c r="C7" s="10" t="s">
        <v>224</v>
      </c>
      <c r="D7" s="10">
        <v>5</v>
      </c>
      <c r="E7" s="10">
        <v>4</v>
      </c>
      <c r="F7" s="10">
        <v>2</v>
      </c>
      <c r="G7" s="10">
        <v>6</v>
      </c>
      <c r="H7" s="11">
        <f t="shared" si="0"/>
        <v>17</v>
      </c>
      <c r="I7" s="10">
        <v>7</v>
      </c>
      <c r="J7" s="10">
        <v>8</v>
      </c>
      <c r="K7" s="10">
        <v>3</v>
      </c>
      <c r="L7" s="11">
        <f t="shared" si="1"/>
        <v>18</v>
      </c>
      <c r="M7" s="9">
        <v>6</v>
      </c>
      <c r="N7" s="9">
        <v>5</v>
      </c>
      <c r="O7" s="9">
        <v>0</v>
      </c>
      <c r="P7" s="11">
        <f t="shared" si="2"/>
        <v>11</v>
      </c>
      <c r="Q7" s="9">
        <v>0</v>
      </c>
      <c r="R7" s="9">
        <v>4</v>
      </c>
      <c r="S7" s="9">
        <v>0</v>
      </c>
      <c r="T7" s="11">
        <f t="shared" si="3"/>
        <v>4</v>
      </c>
      <c r="U7" s="9">
        <v>2</v>
      </c>
      <c r="V7" s="9">
        <v>4</v>
      </c>
      <c r="W7" s="9">
        <v>15</v>
      </c>
      <c r="X7" s="11">
        <f t="shared" si="4"/>
        <v>21</v>
      </c>
      <c r="Y7" s="4"/>
      <c r="Z7" s="331"/>
    </row>
    <row r="8" spans="2:26">
      <c r="B8" s="235"/>
      <c r="C8" s="10" t="s">
        <v>225</v>
      </c>
      <c r="D8" s="10">
        <v>0</v>
      </c>
      <c r="E8" s="327">
        <v>0</v>
      </c>
      <c r="F8" s="10">
        <v>0</v>
      </c>
      <c r="G8" s="10">
        <v>0</v>
      </c>
      <c r="H8" s="68">
        <f t="shared" si="0"/>
        <v>0</v>
      </c>
      <c r="I8" s="10">
        <v>0</v>
      </c>
      <c r="J8" s="10">
        <v>0</v>
      </c>
      <c r="K8" s="10">
        <v>0</v>
      </c>
      <c r="L8" s="68">
        <f t="shared" si="1"/>
        <v>0</v>
      </c>
      <c r="M8" s="69">
        <v>0</v>
      </c>
      <c r="N8" s="69">
        <v>0</v>
      </c>
      <c r="O8" s="69">
        <v>0</v>
      </c>
      <c r="P8" s="68">
        <f t="shared" si="2"/>
        <v>0</v>
      </c>
      <c r="Q8" s="69">
        <v>0</v>
      </c>
      <c r="R8" s="69">
        <v>0</v>
      </c>
      <c r="S8" s="69">
        <v>0</v>
      </c>
      <c r="T8" s="68">
        <f t="shared" si="3"/>
        <v>0</v>
      </c>
      <c r="U8" s="69">
        <v>0</v>
      </c>
      <c r="V8" s="69">
        <v>0</v>
      </c>
      <c r="W8" s="69">
        <v>0</v>
      </c>
      <c r="X8" s="68">
        <f t="shared" si="4"/>
        <v>0</v>
      </c>
      <c r="Y8" s="4"/>
      <c r="Z8" s="331"/>
    </row>
    <row r="9" spans="2:26">
      <c r="B9" s="235"/>
      <c r="C9" s="10" t="s">
        <v>226</v>
      </c>
      <c r="D9" s="10">
        <v>0</v>
      </c>
      <c r="E9" s="10">
        <v>0</v>
      </c>
      <c r="F9" s="10">
        <v>0</v>
      </c>
      <c r="G9" s="10">
        <v>0</v>
      </c>
      <c r="H9" s="68">
        <f t="shared" si="0"/>
        <v>0</v>
      </c>
      <c r="I9" s="10">
        <v>0</v>
      </c>
      <c r="J9" s="10">
        <v>0</v>
      </c>
      <c r="K9" s="10">
        <v>0</v>
      </c>
      <c r="L9" s="68">
        <f t="shared" si="1"/>
        <v>0</v>
      </c>
      <c r="M9" s="69">
        <v>0</v>
      </c>
      <c r="N9" s="69">
        <v>0</v>
      </c>
      <c r="O9" s="69">
        <v>0</v>
      </c>
      <c r="P9" s="68">
        <f t="shared" si="2"/>
        <v>0</v>
      </c>
      <c r="Q9" s="69">
        <v>0</v>
      </c>
      <c r="R9" s="69">
        <v>0</v>
      </c>
      <c r="S9" s="69">
        <v>0</v>
      </c>
      <c r="T9" s="68">
        <f t="shared" si="3"/>
        <v>0</v>
      </c>
      <c r="U9" s="69">
        <v>0</v>
      </c>
      <c r="V9" s="69">
        <v>0</v>
      </c>
      <c r="W9" s="69">
        <v>0</v>
      </c>
      <c r="X9" s="68">
        <f t="shared" si="4"/>
        <v>0</v>
      </c>
      <c r="Y9" s="4"/>
      <c r="Z9" s="331"/>
    </row>
    <row r="10" spans="2:26">
      <c r="B10" s="235"/>
      <c r="C10" s="10" t="s">
        <v>227</v>
      </c>
      <c r="D10" s="10">
        <v>16</v>
      </c>
      <c r="E10" s="10">
        <v>23</v>
      </c>
      <c r="F10" s="10">
        <v>11</v>
      </c>
      <c r="G10" s="10">
        <v>6</v>
      </c>
      <c r="H10" s="11">
        <f t="shared" si="0"/>
        <v>56</v>
      </c>
      <c r="I10" s="10">
        <v>14</v>
      </c>
      <c r="J10" s="10">
        <v>26</v>
      </c>
      <c r="K10" s="10">
        <v>12</v>
      </c>
      <c r="L10" s="11">
        <f t="shared" si="1"/>
        <v>52</v>
      </c>
      <c r="M10" s="9">
        <v>12</v>
      </c>
      <c r="N10" s="9">
        <v>6</v>
      </c>
      <c r="O10" s="9">
        <v>3</v>
      </c>
      <c r="P10" s="11">
        <f t="shared" si="2"/>
        <v>21</v>
      </c>
      <c r="Q10" s="9">
        <v>14</v>
      </c>
      <c r="R10" s="9">
        <v>9</v>
      </c>
      <c r="S10" s="9">
        <v>2</v>
      </c>
      <c r="T10" s="11">
        <f t="shared" si="3"/>
        <v>25</v>
      </c>
      <c r="U10" s="9">
        <v>4</v>
      </c>
      <c r="V10" s="9">
        <v>2</v>
      </c>
      <c r="W10" s="9">
        <v>1</v>
      </c>
      <c r="X10" s="11">
        <f t="shared" si="4"/>
        <v>7</v>
      </c>
      <c r="Y10" s="4"/>
      <c r="Z10" s="331"/>
    </row>
    <row r="11" spans="2:26">
      <c r="B11" s="235"/>
      <c r="C11" s="10" t="s">
        <v>228</v>
      </c>
      <c r="D11" s="10">
        <v>8</v>
      </c>
      <c r="E11" s="10">
        <v>8</v>
      </c>
      <c r="F11" s="10">
        <v>5</v>
      </c>
      <c r="G11" s="10">
        <v>7</v>
      </c>
      <c r="H11" s="11">
        <f t="shared" si="0"/>
        <v>28</v>
      </c>
      <c r="I11" s="10">
        <v>12</v>
      </c>
      <c r="J11" s="10">
        <v>7</v>
      </c>
      <c r="K11" s="10">
        <v>2</v>
      </c>
      <c r="L11" s="11">
        <f t="shared" si="1"/>
        <v>21</v>
      </c>
      <c r="M11" s="9">
        <v>7</v>
      </c>
      <c r="N11" s="9">
        <v>9</v>
      </c>
      <c r="O11" s="9">
        <v>4</v>
      </c>
      <c r="P11" s="11">
        <f t="shared" si="2"/>
        <v>20</v>
      </c>
      <c r="Q11" s="9">
        <v>5</v>
      </c>
      <c r="R11" s="9">
        <v>8</v>
      </c>
      <c r="S11" s="9">
        <v>0</v>
      </c>
      <c r="T11" s="11">
        <f t="shared" si="3"/>
        <v>13</v>
      </c>
      <c r="U11" s="70" t="s">
        <v>26</v>
      </c>
      <c r="V11" s="70" t="s">
        <v>26</v>
      </c>
      <c r="W11" s="70" t="s">
        <v>26</v>
      </c>
      <c r="X11" s="11">
        <f t="shared" si="4"/>
        <v>0</v>
      </c>
      <c r="Y11" s="4"/>
      <c r="Z11" s="331"/>
    </row>
    <row r="12" spans="2:26">
      <c r="B12" s="239"/>
      <c r="C12" s="10" t="s">
        <v>229</v>
      </c>
      <c r="D12" s="10">
        <v>374</v>
      </c>
      <c r="E12" s="10">
        <v>190</v>
      </c>
      <c r="F12" s="10">
        <v>118</v>
      </c>
      <c r="G12" s="10">
        <v>498</v>
      </c>
      <c r="H12" s="11">
        <f t="shared" si="0"/>
        <v>1180</v>
      </c>
      <c r="I12" s="10">
        <v>313</v>
      </c>
      <c r="J12" s="10">
        <v>410</v>
      </c>
      <c r="K12" s="10">
        <v>150</v>
      </c>
      <c r="L12" s="11">
        <f t="shared" si="1"/>
        <v>873</v>
      </c>
      <c r="M12" s="12">
        <v>126</v>
      </c>
      <c r="N12" s="9">
        <v>235</v>
      </c>
      <c r="O12" s="9">
        <v>0</v>
      </c>
      <c r="P12" s="11">
        <f t="shared" si="2"/>
        <v>361</v>
      </c>
      <c r="Q12" s="9">
        <v>10</v>
      </c>
      <c r="R12" s="9">
        <v>141</v>
      </c>
      <c r="S12" s="9">
        <v>0</v>
      </c>
      <c r="T12" s="11">
        <f t="shared" si="3"/>
        <v>151</v>
      </c>
      <c r="U12" s="9">
        <v>86</v>
      </c>
      <c r="V12" s="9">
        <v>109</v>
      </c>
      <c r="W12" s="9">
        <v>200</v>
      </c>
      <c r="X12" s="11">
        <f t="shared" si="4"/>
        <v>395</v>
      </c>
      <c r="Y12" s="4"/>
      <c r="Z12" s="331"/>
    </row>
    <row r="13" spans="2:26">
      <c r="B13" s="235"/>
      <c r="C13" s="10" t="s">
        <v>230</v>
      </c>
      <c r="D13" s="12">
        <v>1719580</v>
      </c>
      <c r="E13" s="12">
        <v>1116287</v>
      </c>
      <c r="F13" s="12">
        <v>1120339</v>
      </c>
      <c r="G13" s="12">
        <v>1414033</v>
      </c>
      <c r="H13" s="11">
        <f t="shared" si="0"/>
        <v>5370239</v>
      </c>
      <c r="I13" s="12">
        <v>1652932</v>
      </c>
      <c r="J13" s="12">
        <v>1102094</v>
      </c>
      <c r="K13" s="12">
        <v>585124</v>
      </c>
      <c r="L13" s="11">
        <f t="shared" si="1"/>
        <v>3340150</v>
      </c>
      <c r="M13" s="12">
        <v>1628839</v>
      </c>
      <c r="N13" s="12">
        <v>1188662</v>
      </c>
      <c r="O13" s="12">
        <v>211863</v>
      </c>
      <c r="P13" s="11">
        <f t="shared" si="2"/>
        <v>3029364</v>
      </c>
      <c r="Q13" s="12">
        <v>1818378</v>
      </c>
      <c r="R13" s="12">
        <v>1215164</v>
      </c>
      <c r="S13" s="12">
        <v>166220</v>
      </c>
      <c r="T13" s="11">
        <f t="shared" si="3"/>
        <v>3199762</v>
      </c>
      <c r="U13" s="12">
        <v>938267</v>
      </c>
      <c r="V13" s="12">
        <v>745149</v>
      </c>
      <c r="W13" s="12">
        <v>466679</v>
      </c>
      <c r="X13" s="11">
        <f t="shared" si="4"/>
        <v>2150095</v>
      </c>
      <c r="Y13" s="4"/>
      <c r="Z13" s="331"/>
    </row>
    <row r="14" spans="2:26">
      <c r="B14" s="240"/>
      <c r="C14" s="10" t="s">
        <v>231</v>
      </c>
      <c r="D14" s="10"/>
      <c r="E14" s="10"/>
      <c r="F14" s="10"/>
      <c r="G14" s="10"/>
      <c r="H14" s="68">
        <f t="shared" si="0"/>
        <v>0</v>
      </c>
      <c r="I14" s="10">
        <v>0</v>
      </c>
      <c r="J14" s="10">
        <v>0</v>
      </c>
      <c r="K14" s="10">
        <v>0</v>
      </c>
      <c r="L14" s="68">
        <f t="shared" si="1"/>
        <v>0</v>
      </c>
      <c r="M14" s="69"/>
      <c r="N14" s="69">
        <v>0</v>
      </c>
      <c r="O14" s="69">
        <v>0</v>
      </c>
      <c r="P14" s="68">
        <f t="shared" si="2"/>
        <v>0</v>
      </c>
      <c r="Q14" s="69">
        <v>0</v>
      </c>
      <c r="R14" s="69">
        <v>0</v>
      </c>
      <c r="S14" s="69">
        <v>0</v>
      </c>
      <c r="T14" s="68">
        <f t="shared" si="3"/>
        <v>0</v>
      </c>
      <c r="U14" s="69">
        <v>0</v>
      </c>
      <c r="V14" s="69">
        <v>0</v>
      </c>
      <c r="W14" s="69">
        <v>0</v>
      </c>
      <c r="X14" s="68">
        <f t="shared" si="4"/>
        <v>0</v>
      </c>
      <c r="Y14" s="4"/>
      <c r="Z14" s="331"/>
    </row>
    <row r="15" spans="2:26">
      <c r="B15" s="240"/>
      <c r="C15" s="14" t="s">
        <v>625</v>
      </c>
      <c r="D15" s="72">
        <f>(D6*200000)/D13</f>
        <v>1.0467672338594307</v>
      </c>
      <c r="E15" s="72">
        <f>(E6*200000)/E13</f>
        <v>1.0749923630750873</v>
      </c>
      <c r="F15" s="72">
        <f>(F6*200000)/F13</f>
        <v>1.2496217662689597</v>
      </c>
      <c r="G15" s="72">
        <f>(G6*200000)/G13</f>
        <v>1.1315153182422193</v>
      </c>
      <c r="H15" s="332">
        <f>(H6*200000)/H13</f>
        <v>1.1172687100145822</v>
      </c>
      <c r="I15" s="72">
        <f t="shared" ref="I15:X15" si="5">(I6*200000)/I13</f>
        <v>2.0569509211510213</v>
      </c>
      <c r="J15" s="72">
        <f t="shared" si="5"/>
        <v>2.5406181323916108</v>
      </c>
      <c r="K15" s="72">
        <f>(K6*200000)/K13</f>
        <v>3.0762710126400559</v>
      </c>
      <c r="L15" s="332">
        <f>(L6*200000)/L13</f>
        <v>2.39510201637651</v>
      </c>
      <c r="M15" s="61">
        <f t="shared" si="5"/>
        <v>1.4734421265699065</v>
      </c>
      <c r="N15" s="61">
        <f t="shared" si="5"/>
        <v>1.1777948651509007</v>
      </c>
      <c r="O15" s="61">
        <f t="shared" si="5"/>
        <v>0</v>
      </c>
      <c r="P15" s="332">
        <f>(P6*200000)/P13</f>
        <v>1.2543887099734465</v>
      </c>
      <c r="Q15" s="325">
        <f t="shared" si="5"/>
        <v>0.76991692596368855</v>
      </c>
      <c r="R15" s="325">
        <f t="shared" si="5"/>
        <v>1.1521078636299298</v>
      </c>
      <c r="S15" s="325">
        <f t="shared" si="5"/>
        <v>1.2032246420406689</v>
      </c>
      <c r="T15" s="332">
        <f t="shared" si="5"/>
        <v>0.93756973174879876</v>
      </c>
      <c r="U15" s="61">
        <f t="shared" si="5"/>
        <v>1.4921125862894038</v>
      </c>
      <c r="V15" s="61">
        <f t="shared" si="5"/>
        <v>1.342013476499331</v>
      </c>
      <c r="W15" s="61">
        <f t="shared" si="5"/>
        <v>6.428401535102287</v>
      </c>
      <c r="X15" s="73">
        <f t="shared" si="5"/>
        <v>2.5115169329727292</v>
      </c>
      <c r="Y15" s="4"/>
      <c r="Z15" s="331"/>
    </row>
    <row r="16" spans="2:26">
      <c r="B16" s="235"/>
      <c r="C16" s="14" t="s">
        <v>626</v>
      </c>
      <c r="D16" s="72">
        <f>(D7*200000)/D13</f>
        <v>0.58153735214412827</v>
      </c>
      <c r="E16" s="72">
        <f>(E7*200000)/E13</f>
        <v>0.71666157538339159</v>
      </c>
      <c r="F16" s="72">
        <f>(F7*200000)/F13</f>
        <v>0.35703479036255992</v>
      </c>
      <c r="G16" s="72">
        <f>(G7*200000)/G13</f>
        <v>0.84863648868166441</v>
      </c>
      <c r="H16" s="332">
        <f>(H7*200000)/H13</f>
        <v>0.63311893567492994</v>
      </c>
      <c r="I16" s="72">
        <f t="shared" ref="I16:X16" si="6">(I7*200000)/I13</f>
        <v>0.84697979106218524</v>
      </c>
      <c r="J16" s="72">
        <f t="shared" si="6"/>
        <v>1.4517817899380634</v>
      </c>
      <c r="K16" s="72">
        <f t="shared" si="6"/>
        <v>1.0254236708800186</v>
      </c>
      <c r="L16" s="332">
        <f t="shared" si="6"/>
        <v>1.0777959073694294</v>
      </c>
      <c r="M16" s="61">
        <f t="shared" si="6"/>
        <v>0.73672106328495324</v>
      </c>
      <c r="N16" s="61">
        <f t="shared" si="6"/>
        <v>0.84128204653635774</v>
      </c>
      <c r="O16" s="61">
        <f t="shared" si="6"/>
        <v>0</v>
      </c>
      <c r="P16" s="332">
        <f t="shared" si="6"/>
        <v>0.72622504261620591</v>
      </c>
      <c r="Q16" s="325">
        <f t="shared" si="6"/>
        <v>0</v>
      </c>
      <c r="R16" s="325">
        <f t="shared" si="6"/>
        <v>0.65834735064567418</v>
      </c>
      <c r="S16" s="325">
        <f t="shared" si="6"/>
        <v>0</v>
      </c>
      <c r="T16" s="332">
        <f t="shared" si="6"/>
        <v>0.250018595133013</v>
      </c>
      <c r="U16" s="61">
        <f t="shared" si="6"/>
        <v>0.4263178817969725</v>
      </c>
      <c r="V16" s="61">
        <f t="shared" si="6"/>
        <v>1.0736107811994648</v>
      </c>
      <c r="W16" s="61">
        <f t="shared" si="6"/>
        <v>6.428401535102287</v>
      </c>
      <c r="X16" s="73">
        <f t="shared" si="6"/>
        <v>1.9534020589787893</v>
      </c>
      <c r="Y16" s="4"/>
      <c r="Z16" s="331"/>
    </row>
    <row r="17" spans="2:26">
      <c r="B17" s="236"/>
      <c r="C17" s="14" t="s">
        <v>627</v>
      </c>
      <c r="D17" s="72">
        <f t="shared" ref="D17:X17" si="7">(D12*200000)/D13</f>
        <v>43.498993940380792</v>
      </c>
      <c r="E17" s="72">
        <f t="shared" si="7"/>
        <v>34.041424830711101</v>
      </c>
      <c r="F17" s="72">
        <f t="shared" si="7"/>
        <v>21.065052631391033</v>
      </c>
      <c r="G17" s="72">
        <f t="shared" si="7"/>
        <v>70.436828560578149</v>
      </c>
      <c r="H17" s="73">
        <f t="shared" si="7"/>
        <v>43.945902593906901</v>
      </c>
      <c r="I17" s="72">
        <f t="shared" si="7"/>
        <v>37.872096371780572</v>
      </c>
      <c r="J17" s="72">
        <f t="shared" si="7"/>
        <v>74.403816734325744</v>
      </c>
      <c r="K17" s="72">
        <f t="shared" si="7"/>
        <v>51.271183544000927</v>
      </c>
      <c r="L17" s="73">
        <f t="shared" si="7"/>
        <v>52.27310150741733</v>
      </c>
      <c r="M17" s="61">
        <f t="shared" si="7"/>
        <v>15.471142328984019</v>
      </c>
      <c r="N17" s="61">
        <f t="shared" si="7"/>
        <v>39.540256187208811</v>
      </c>
      <c r="O17" s="61">
        <f t="shared" si="7"/>
        <v>0</v>
      </c>
      <c r="P17" s="73">
        <f t="shared" si="7"/>
        <v>23.833385489495484</v>
      </c>
      <c r="Q17" s="61">
        <f t="shared" si="7"/>
        <v>1.0998813228052693</v>
      </c>
      <c r="R17" s="61">
        <f t="shared" si="7"/>
        <v>23.206744110260015</v>
      </c>
      <c r="S17" s="61">
        <f t="shared" si="7"/>
        <v>0</v>
      </c>
      <c r="T17" s="73">
        <f t="shared" si="7"/>
        <v>9.438201966271242</v>
      </c>
      <c r="U17" s="35">
        <f t="shared" si="7"/>
        <v>18.331668917269816</v>
      </c>
      <c r="V17" s="35">
        <f t="shared" si="7"/>
        <v>29.255893787685416</v>
      </c>
      <c r="W17" s="35">
        <f t="shared" si="7"/>
        <v>85.712020468030488</v>
      </c>
      <c r="X17" s="34">
        <f t="shared" si="7"/>
        <v>36.742562537934369</v>
      </c>
      <c r="Y17" s="4"/>
      <c r="Z17" s="331"/>
    </row>
    <row r="18" spans="2:26">
      <c r="B18" s="235"/>
      <c r="C18" s="10" t="s">
        <v>232</v>
      </c>
      <c r="D18" s="74">
        <f t="shared" ref="D18:X18" si="8">(D10*200000)/D13</f>
        <v>1.8609195268612102</v>
      </c>
      <c r="E18" s="74">
        <f t="shared" si="8"/>
        <v>4.1208040584545014</v>
      </c>
      <c r="F18" s="74">
        <f t="shared" si="8"/>
        <v>1.9636913469940795</v>
      </c>
      <c r="G18" s="74">
        <f t="shared" si="8"/>
        <v>0.84863648868166441</v>
      </c>
      <c r="H18" s="34">
        <f t="shared" si="8"/>
        <v>2.0855682586938866</v>
      </c>
      <c r="I18" s="74">
        <f t="shared" si="8"/>
        <v>1.6939595821243705</v>
      </c>
      <c r="J18" s="74">
        <f t="shared" si="8"/>
        <v>4.7182908172987057</v>
      </c>
      <c r="K18" s="74">
        <f t="shared" si="8"/>
        <v>4.1016946835200745</v>
      </c>
      <c r="L18" s="34">
        <f t="shared" si="8"/>
        <v>3.1136326212894629</v>
      </c>
      <c r="M18" s="35">
        <f t="shared" si="8"/>
        <v>1.4734421265699065</v>
      </c>
      <c r="N18" s="35">
        <f t="shared" si="8"/>
        <v>1.0095384558436293</v>
      </c>
      <c r="O18" s="35">
        <f t="shared" si="8"/>
        <v>2.8320188046048624</v>
      </c>
      <c r="P18" s="34">
        <f t="shared" si="8"/>
        <v>1.3864296268127567</v>
      </c>
      <c r="Q18" s="35">
        <f t="shared" si="8"/>
        <v>1.5398338519273771</v>
      </c>
      <c r="R18" s="35">
        <f t="shared" si="8"/>
        <v>1.4812815389527669</v>
      </c>
      <c r="S18" s="35">
        <f t="shared" si="8"/>
        <v>2.4064492840813378</v>
      </c>
      <c r="T18" s="34">
        <f t="shared" si="8"/>
        <v>1.5626162195813313</v>
      </c>
      <c r="U18" s="35">
        <f t="shared" si="8"/>
        <v>0.852635763593945</v>
      </c>
      <c r="V18" s="35">
        <f t="shared" si="8"/>
        <v>0.53680539059973242</v>
      </c>
      <c r="W18" s="35">
        <f t="shared" si="8"/>
        <v>0.42856010234015246</v>
      </c>
      <c r="X18" s="34">
        <f t="shared" si="8"/>
        <v>0.65113401965959639</v>
      </c>
      <c r="Y18" s="4"/>
      <c r="Z18" s="331"/>
    </row>
    <row r="19" spans="2:26">
      <c r="B19" s="176"/>
      <c r="C19" s="75"/>
      <c r="D19" s="75"/>
      <c r="E19" s="75"/>
      <c r="F19" s="75"/>
      <c r="G19" s="75"/>
      <c r="H19" s="75"/>
      <c r="I19" s="75"/>
      <c r="J19" s="75"/>
      <c r="K19" s="75"/>
      <c r="L19" s="75"/>
      <c r="M19" s="75"/>
      <c r="N19" s="75"/>
      <c r="O19" s="75"/>
      <c r="P19" s="75"/>
      <c r="Q19" s="75"/>
      <c r="R19" s="75"/>
      <c r="S19" s="75"/>
      <c r="T19" s="75"/>
      <c r="U19" s="75"/>
      <c r="V19" s="75"/>
      <c r="W19" s="75"/>
      <c r="X19" s="75"/>
      <c r="Y19" s="4"/>
      <c r="Z19" s="331"/>
    </row>
    <row r="20" spans="2:26">
      <c r="B20" s="7" t="s">
        <v>233</v>
      </c>
      <c r="C20" s="8"/>
      <c r="D20" s="8"/>
      <c r="E20" s="8"/>
      <c r="F20" s="8"/>
      <c r="G20" s="8"/>
      <c r="H20" s="4"/>
      <c r="I20" s="8"/>
      <c r="J20" s="8"/>
      <c r="K20" s="8"/>
      <c r="L20" s="4"/>
      <c r="M20" s="4"/>
      <c r="N20" s="4"/>
      <c r="O20" s="4"/>
      <c r="P20" s="4"/>
      <c r="Q20" s="4"/>
      <c r="R20" s="4"/>
      <c r="S20" s="4"/>
      <c r="T20" s="4"/>
      <c r="U20" s="4"/>
      <c r="V20" s="4"/>
      <c r="W20" s="4"/>
      <c r="X20" s="4"/>
      <c r="Y20" s="4"/>
      <c r="Z20" s="331"/>
    </row>
    <row r="21" spans="2:26">
      <c r="B21" s="235"/>
      <c r="C21" s="10" t="s">
        <v>223</v>
      </c>
      <c r="D21" s="10">
        <v>1</v>
      </c>
      <c r="E21" s="10">
        <v>1</v>
      </c>
      <c r="F21" s="10">
        <v>4</v>
      </c>
      <c r="G21" s="10">
        <v>10</v>
      </c>
      <c r="H21" s="76">
        <f t="shared" ref="H21:H29" si="9">SUM(D21:G21)</f>
        <v>16</v>
      </c>
      <c r="I21" s="10">
        <v>5</v>
      </c>
      <c r="J21" s="10">
        <v>2</v>
      </c>
      <c r="K21" s="10">
        <v>10</v>
      </c>
      <c r="L21" s="76">
        <f t="shared" ref="L21:L29" si="10">SUM(I21:K21)</f>
        <v>17</v>
      </c>
      <c r="M21" s="55">
        <v>3</v>
      </c>
      <c r="N21" s="55">
        <v>1</v>
      </c>
      <c r="O21" s="55">
        <v>4</v>
      </c>
      <c r="P21" s="76">
        <f t="shared" ref="P21:P29" si="11">SUM(M21:O21)</f>
        <v>8</v>
      </c>
      <c r="Q21" s="55">
        <v>6</v>
      </c>
      <c r="R21" s="55">
        <v>1</v>
      </c>
      <c r="S21" s="55">
        <v>0</v>
      </c>
      <c r="T21" s="76">
        <f>SUM(Q21:S21)</f>
        <v>7</v>
      </c>
      <c r="U21" s="55">
        <v>2</v>
      </c>
      <c r="V21" s="55">
        <v>5</v>
      </c>
      <c r="W21" s="55">
        <v>1</v>
      </c>
      <c r="X21" s="76">
        <f>SUM(U21:W21)</f>
        <v>8</v>
      </c>
      <c r="Y21" s="4"/>
      <c r="Z21" s="331"/>
    </row>
    <row r="22" spans="2:26">
      <c r="B22" s="235"/>
      <c r="C22" s="10" t="s">
        <v>224</v>
      </c>
      <c r="D22" s="10">
        <v>0</v>
      </c>
      <c r="E22" s="10">
        <v>0</v>
      </c>
      <c r="F22" s="10">
        <v>1</v>
      </c>
      <c r="G22" s="10">
        <v>4</v>
      </c>
      <c r="H22" s="76">
        <f t="shared" si="9"/>
        <v>5</v>
      </c>
      <c r="I22" s="10">
        <v>1</v>
      </c>
      <c r="J22" s="10">
        <v>0</v>
      </c>
      <c r="K22" s="10">
        <v>6</v>
      </c>
      <c r="L22" s="76">
        <f t="shared" si="10"/>
        <v>7</v>
      </c>
      <c r="M22" s="55">
        <v>1</v>
      </c>
      <c r="N22" s="55">
        <v>0</v>
      </c>
      <c r="O22" s="55">
        <v>2</v>
      </c>
      <c r="P22" s="76">
        <f t="shared" si="11"/>
        <v>3</v>
      </c>
      <c r="Q22" s="55">
        <v>1</v>
      </c>
      <c r="R22" s="55">
        <v>0</v>
      </c>
      <c r="S22" s="55">
        <v>0</v>
      </c>
      <c r="T22" s="76">
        <f>SUM(Q22:S22)</f>
        <v>1</v>
      </c>
      <c r="U22" s="55">
        <v>1</v>
      </c>
      <c r="V22" s="55">
        <v>3</v>
      </c>
      <c r="W22" s="55">
        <v>1</v>
      </c>
      <c r="X22" s="76">
        <f>SUM(U22:W22)</f>
        <v>5</v>
      </c>
      <c r="Y22" s="4"/>
      <c r="Z22" s="331"/>
    </row>
    <row r="23" spans="2:26">
      <c r="B23" s="235"/>
      <c r="C23" s="10" t="s">
        <v>234</v>
      </c>
      <c r="D23" s="10">
        <v>0</v>
      </c>
      <c r="E23" s="10">
        <v>1</v>
      </c>
      <c r="F23" s="10">
        <v>0</v>
      </c>
      <c r="G23" s="10">
        <v>0</v>
      </c>
      <c r="H23" s="76">
        <f t="shared" si="9"/>
        <v>1</v>
      </c>
      <c r="I23" s="10">
        <v>0</v>
      </c>
      <c r="J23" s="10">
        <v>0</v>
      </c>
      <c r="K23" s="10">
        <v>0</v>
      </c>
      <c r="L23" s="76">
        <f t="shared" si="10"/>
        <v>0</v>
      </c>
      <c r="M23" s="55">
        <v>0</v>
      </c>
      <c r="N23" s="55">
        <v>0</v>
      </c>
      <c r="O23" s="55">
        <v>0</v>
      </c>
      <c r="P23" s="76">
        <f t="shared" si="11"/>
        <v>0</v>
      </c>
      <c r="Q23" s="55">
        <v>0</v>
      </c>
      <c r="R23" s="55">
        <v>0</v>
      </c>
      <c r="S23" s="55">
        <v>0</v>
      </c>
      <c r="T23" s="76">
        <f>SUM(Q23:S23)</f>
        <v>0</v>
      </c>
      <c r="U23" s="55">
        <v>0</v>
      </c>
      <c r="V23" s="55">
        <v>0</v>
      </c>
      <c r="W23" s="55">
        <v>0</v>
      </c>
      <c r="X23" s="76">
        <f>SUM(U23:W23)</f>
        <v>0</v>
      </c>
      <c r="Y23" s="4"/>
      <c r="Z23" s="331"/>
    </row>
    <row r="24" spans="2:26">
      <c r="B24" s="235"/>
      <c r="C24" s="10" t="s">
        <v>226</v>
      </c>
      <c r="D24" s="10">
        <v>0</v>
      </c>
      <c r="E24" s="10">
        <v>0</v>
      </c>
      <c r="F24" s="10">
        <v>0</v>
      </c>
      <c r="G24" s="10">
        <v>0</v>
      </c>
      <c r="H24" s="76">
        <f t="shared" si="9"/>
        <v>0</v>
      </c>
      <c r="I24" s="10">
        <v>0</v>
      </c>
      <c r="J24" s="10">
        <v>0</v>
      </c>
      <c r="K24" s="10">
        <v>0</v>
      </c>
      <c r="L24" s="76">
        <f t="shared" si="10"/>
        <v>0</v>
      </c>
      <c r="M24" s="10">
        <v>0</v>
      </c>
      <c r="N24" s="10">
        <v>0</v>
      </c>
      <c r="O24" s="10">
        <v>0</v>
      </c>
      <c r="P24" s="76">
        <f t="shared" si="11"/>
        <v>0</v>
      </c>
      <c r="Q24" s="10">
        <v>0</v>
      </c>
      <c r="R24" s="4"/>
      <c r="S24" s="55"/>
      <c r="T24" s="76">
        <v>0</v>
      </c>
      <c r="U24" s="55"/>
      <c r="V24" s="55"/>
      <c r="W24" s="55"/>
      <c r="X24" s="76"/>
      <c r="Y24" s="4"/>
      <c r="Z24" s="331"/>
    </row>
    <row r="25" spans="2:26">
      <c r="B25" s="235"/>
      <c r="C25" s="10" t="s">
        <v>227</v>
      </c>
      <c r="D25" s="10">
        <v>9</v>
      </c>
      <c r="E25" s="10">
        <v>15</v>
      </c>
      <c r="F25" s="10">
        <v>12</v>
      </c>
      <c r="G25" s="10">
        <v>10</v>
      </c>
      <c r="H25" s="76">
        <f t="shared" si="9"/>
        <v>46</v>
      </c>
      <c r="I25" s="10">
        <v>10</v>
      </c>
      <c r="J25" s="10">
        <v>11</v>
      </c>
      <c r="K25" s="10">
        <v>19</v>
      </c>
      <c r="L25" s="76">
        <f t="shared" si="10"/>
        <v>40</v>
      </c>
      <c r="M25" s="55">
        <v>11</v>
      </c>
      <c r="N25" s="55">
        <v>2</v>
      </c>
      <c r="O25" s="55">
        <v>10</v>
      </c>
      <c r="P25" s="76">
        <f t="shared" si="11"/>
        <v>23</v>
      </c>
      <c r="Q25" s="55">
        <v>10</v>
      </c>
      <c r="R25" s="55">
        <v>3</v>
      </c>
      <c r="S25" s="55">
        <v>4</v>
      </c>
      <c r="T25" s="76">
        <f>SUM(Q25:S25)</f>
        <v>17</v>
      </c>
      <c r="U25" s="55">
        <v>1</v>
      </c>
      <c r="V25" s="55">
        <v>4</v>
      </c>
      <c r="W25" s="55">
        <v>0</v>
      </c>
      <c r="X25" s="76">
        <f>SUM(U25:W25)</f>
        <v>5</v>
      </c>
      <c r="Y25" s="4"/>
      <c r="Z25" s="331"/>
    </row>
    <row r="26" spans="2:26">
      <c r="B26" s="235"/>
      <c r="C26" s="10" t="s">
        <v>228</v>
      </c>
      <c r="D26" s="10">
        <v>5</v>
      </c>
      <c r="E26" s="10">
        <v>1</v>
      </c>
      <c r="F26" s="10">
        <v>3</v>
      </c>
      <c r="G26" s="10">
        <v>10</v>
      </c>
      <c r="H26" s="76">
        <f t="shared" si="9"/>
        <v>19</v>
      </c>
      <c r="I26" s="10">
        <v>4</v>
      </c>
      <c r="J26" s="10">
        <v>3</v>
      </c>
      <c r="K26" s="10">
        <v>10</v>
      </c>
      <c r="L26" s="76">
        <f t="shared" si="10"/>
        <v>17</v>
      </c>
      <c r="M26" s="55">
        <v>3</v>
      </c>
      <c r="N26" s="55">
        <v>2</v>
      </c>
      <c r="O26" s="55">
        <v>3</v>
      </c>
      <c r="P26" s="76">
        <f t="shared" si="11"/>
        <v>8</v>
      </c>
      <c r="Q26" s="55">
        <v>8</v>
      </c>
      <c r="R26" s="55">
        <v>3</v>
      </c>
      <c r="S26" s="55">
        <v>1</v>
      </c>
      <c r="T26" s="76">
        <f>SUM(Q26:S26)</f>
        <v>12</v>
      </c>
      <c r="U26" s="77" t="s">
        <v>26</v>
      </c>
      <c r="V26" s="77" t="s">
        <v>26</v>
      </c>
      <c r="W26" s="77" t="s">
        <v>26</v>
      </c>
      <c r="X26" s="76">
        <f>SUM(U26:W26)</f>
        <v>0</v>
      </c>
      <c r="Y26" s="4"/>
      <c r="Z26" s="331"/>
    </row>
    <row r="27" spans="2:26">
      <c r="B27" s="235"/>
      <c r="C27" s="10" t="s">
        <v>229</v>
      </c>
      <c r="D27" s="10">
        <v>0</v>
      </c>
      <c r="E27" s="339">
        <v>6000</v>
      </c>
      <c r="F27" s="10">
        <v>48</v>
      </c>
      <c r="G27" s="10">
        <v>611</v>
      </c>
      <c r="H27" s="76">
        <f t="shared" si="9"/>
        <v>6659</v>
      </c>
      <c r="I27" s="10">
        <v>18</v>
      </c>
      <c r="J27" s="10">
        <v>0</v>
      </c>
      <c r="K27" s="10">
        <v>217</v>
      </c>
      <c r="L27" s="76">
        <f t="shared" si="10"/>
        <v>235</v>
      </c>
      <c r="M27" s="55">
        <v>73</v>
      </c>
      <c r="N27" s="55">
        <v>0</v>
      </c>
      <c r="O27" s="55">
        <v>40</v>
      </c>
      <c r="P27" s="76">
        <f t="shared" si="11"/>
        <v>113</v>
      </c>
      <c r="Q27" s="55">
        <v>36</v>
      </c>
      <c r="R27" s="55">
        <v>0</v>
      </c>
      <c r="S27" s="55">
        <v>0</v>
      </c>
      <c r="T27" s="76">
        <f>SUM(Q27:S27)</f>
        <v>36</v>
      </c>
      <c r="U27" s="55">
        <v>139</v>
      </c>
      <c r="V27" s="55">
        <v>93</v>
      </c>
      <c r="W27" s="55">
        <v>13</v>
      </c>
      <c r="X27" s="76">
        <f>SUM(U27:W27)</f>
        <v>245</v>
      </c>
      <c r="Y27" s="4"/>
      <c r="Z27" s="331"/>
    </row>
    <row r="28" spans="2:26">
      <c r="B28" s="235"/>
      <c r="C28" s="10" t="s">
        <v>235</v>
      </c>
      <c r="D28" s="12">
        <v>712356</v>
      </c>
      <c r="E28" s="12">
        <v>499548</v>
      </c>
      <c r="F28" s="12">
        <v>1778036</v>
      </c>
      <c r="G28" s="12">
        <v>3295646</v>
      </c>
      <c r="H28" s="76">
        <f t="shared" si="9"/>
        <v>6285586</v>
      </c>
      <c r="I28" s="12">
        <v>947784</v>
      </c>
      <c r="J28" s="12">
        <v>397196</v>
      </c>
      <c r="K28" s="12">
        <v>1745986</v>
      </c>
      <c r="L28" s="76">
        <f t="shared" si="10"/>
        <v>3090966</v>
      </c>
      <c r="M28" s="55">
        <v>1038682</v>
      </c>
      <c r="N28" s="55">
        <v>327420</v>
      </c>
      <c r="O28" s="55">
        <v>850009</v>
      </c>
      <c r="P28" s="76">
        <f t="shared" si="11"/>
        <v>2216111</v>
      </c>
      <c r="Q28" s="55">
        <v>1220752</v>
      </c>
      <c r="R28" s="55">
        <v>384835</v>
      </c>
      <c r="S28" s="55">
        <v>239860</v>
      </c>
      <c r="T28" s="76">
        <f>SUM(Q28:S28)</f>
        <v>1845447</v>
      </c>
      <c r="U28" s="55">
        <v>765177</v>
      </c>
      <c r="V28" s="55">
        <v>577576</v>
      </c>
      <c r="W28" s="55">
        <v>242841</v>
      </c>
      <c r="X28" s="76">
        <f>SUM(U28:W28)</f>
        <v>1585594</v>
      </c>
      <c r="Y28" s="4"/>
      <c r="Z28" s="331"/>
    </row>
    <row r="29" spans="2:26">
      <c r="B29" s="235"/>
      <c r="C29" s="10" t="s">
        <v>231</v>
      </c>
      <c r="D29" s="10">
        <v>0</v>
      </c>
      <c r="E29" s="10">
        <v>0</v>
      </c>
      <c r="F29" s="10">
        <v>0</v>
      </c>
      <c r="G29" s="10">
        <v>0</v>
      </c>
      <c r="H29" s="76">
        <f t="shared" si="9"/>
        <v>0</v>
      </c>
      <c r="I29" s="10">
        <v>0</v>
      </c>
      <c r="J29" s="10">
        <v>0</v>
      </c>
      <c r="K29" s="10">
        <v>0</v>
      </c>
      <c r="L29" s="76">
        <f t="shared" si="10"/>
        <v>0</v>
      </c>
      <c r="M29" s="10">
        <v>0</v>
      </c>
      <c r="N29" s="10">
        <v>0</v>
      </c>
      <c r="O29" s="10">
        <v>0</v>
      </c>
      <c r="P29" s="76">
        <f t="shared" si="11"/>
        <v>0</v>
      </c>
      <c r="Q29" s="10">
        <v>0</v>
      </c>
      <c r="R29" s="10">
        <v>0</v>
      </c>
      <c r="S29" s="10">
        <v>0</v>
      </c>
      <c r="T29" s="76">
        <f>SUM(Q29:S29)</f>
        <v>0</v>
      </c>
      <c r="U29" s="55">
        <v>0</v>
      </c>
      <c r="V29" s="55">
        <v>0</v>
      </c>
      <c r="W29" s="55">
        <v>0</v>
      </c>
      <c r="X29" s="76">
        <f>SUM(U29:W29)</f>
        <v>0</v>
      </c>
      <c r="Y29" s="4"/>
      <c r="Z29" s="331"/>
    </row>
    <row r="30" spans="2:26">
      <c r="B30" s="240"/>
      <c r="C30" s="14" t="s">
        <v>625</v>
      </c>
      <c r="D30" s="78">
        <f>(D21*200000)/D28</f>
        <v>0.28075849715591644</v>
      </c>
      <c r="E30" s="78">
        <f>(E21*200000)/E28</f>
        <v>0.40036192718217267</v>
      </c>
      <c r="F30" s="78">
        <f>(F21*200000)/F28</f>
        <v>0.44993464699252433</v>
      </c>
      <c r="G30" s="78">
        <f>(G21*200000)/G28</f>
        <v>0.60686129517551335</v>
      </c>
      <c r="H30" s="79">
        <f>(H21*200000)/H28</f>
        <v>0.50910129938561022</v>
      </c>
      <c r="I30" s="78">
        <f t="shared" ref="I30:X30" si="12">(I21*200000)/I28</f>
        <v>1.0550927215483696</v>
      </c>
      <c r="J30" s="78">
        <f t="shared" si="12"/>
        <v>1.0070594870038974</v>
      </c>
      <c r="K30" s="78">
        <f t="shared" si="12"/>
        <v>1.1454845571499428</v>
      </c>
      <c r="L30" s="79">
        <f t="shared" si="12"/>
        <v>1.099979747431709</v>
      </c>
      <c r="M30" s="78">
        <f t="shared" si="12"/>
        <v>0.57765514373022731</v>
      </c>
      <c r="N30" s="78">
        <f t="shared" si="12"/>
        <v>0.61083623480544869</v>
      </c>
      <c r="O30" s="78">
        <f t="shared" si="12"/>
        <v>0.94116650529582624</v>
      </c>
      <c r="P30" s="79">
        <f t="shared" si="12"/>
        <v>0.72198549621386299</v>
      </c>
      <c r="Q30" s="78">
        <f t="shared" si="12"/>
        <v>0.98300064222708627</v>
      </c>
      <c r="R30" s="78">
        <f t="shared" si="12"/>
        <v>0.51970324944456714</v>
      </c>
      <c r="S30" s="78">
        <f t="shared" si="12"/>
        <v>0</v>
      </c>
      <c r="T30" s="79">
        <f t="shared" si="12"/>
        <v>0.75862379141747227</v>
      </c>
      <c r="U30" s="78">
        <f t="shared" si="12"/>
        <v>0.52275486586763587</v>
      </c>
      <c r="V30" s="78">
        <f t="shared" si="12"/>
        <v>1.7313738798010998</v>
      </c>
      <c r="W30" s="78">
        <f t="shared" si="12"/>
        <v>0.82358415588800904</v>
      </c>
      <c r="X30" s="79">
        <f t="shared" si="12"/>
        <v>1.0090855540573438</v>
      </c>
      <c r="Y30" s="4"/>
      <c r="Z30" s="331"/>
    </row>
    <row r="31" spans="2:26">
      <c r="B31" s="235"/>
      <c r="C31" s="14" t="s">
        <v>626</v>
      </c>
      <c r="D31" s="78">
        <f>(D22*200000)/D28</f>
        <v>0</v>
      </c>
      <c r="E31" s="78">
        <f>(E22*200000)/E28</f>
        <v>0</v>
      </c>
      <c r="F31" s="78">
        <f>(F22*200000)/F28</f>
        <v>0.11248366174813108</v>
      </c>
      <c r="G31" s="78">
        <f>(G22*200000)/G28</f>
        <v>0.24274451807020536</v>
      </c>
      <c r="H31" s="79">
        <f>(H22*200000)/H28</f>
        <v>0.15909415605800317</v>
      </c>
      <c r="I31" s="78">
        <f t="shared" ref="I31:X31" si="13">(I22*200000)/I28</f>
        <v>0.21101854430967393</v>
      </c>
      <c r="J31" s="78">
        <f t="shared" si="13"/>
        <v>0</v>
      </c>
      <c r="K31" s="78">
        <f t="shared" si="13"/>
        <v>0.68729073428996568</v>
      </c>
      <c r="L31" s="79">
        <f t="shared" si="13"/>
        <v>0.45293283717776256</v>
      </c>
      <c r="M31" s="78">
        <f t="shared" si="13"/>
        <v>0.19255171457674244</v>
      </c>
      <c r="N31" s="78">
        <f t="shared" si="13"/>
        <v>0</v>
      </c>
      <c r="O31" s="78">
        <f t="shared" si="13"/>
        <v>0.47058325264791312</v>
      </c>
      <c r="P31" s="79">
        <f t="shared" si="13"/>
        <v>0.27074456108019862</v>
      </c>
      <c r="Q31" s="78">
        <f t="shared" si="13"/>
        <v>0.16383344037118105</v>
      </c>
      <c r="R31" s="78">
        <f t="shared" si="13"/>
        <v>0</v>
      </c>
      <c r="S31" s="78">
        <f t="shared" si="13"/>
        <v>0</v>
      </c>
      <c r="T31" s="79">
        <f t="shared" si="13"/>
        <v>0.10837482734535318</v>
      </c>
      <c r="U31" s="78">
        <f t="shared" si="13"/>
        <v>0.26137743293381793</v>
      </c>
      <c r="V31" s="78">
        <f t="shared" si="13"/>
        <v>1.0388243278806599</v>
      </c>
      <c r="W31" s="78">
        <f t="shared" si="13"/>
        <v>0.82358415588800904</v>
      </c>
      <c r="X31" s="79">
        <f t="shared" si="13"/>
        <v>0.63067847128583987</v>
      </c>
      <c r="Y31" s="4"/>
      <c r="Z31" s="331"/>
    </row>
    <row r="32" spans="2:26">
      <c r="B32" s="236"/>
      <c r="C32" s="14" t="s">
        <v>627</v>
      </c>
      <c r="D32" s="78">
        <f t="shared" ref="D32:X32" si="14">(D27*200000)/D28</f>
        <v>0</v>
      </c>
      <c r="E32" s="78">
        <f t="shared" si="14"/>
        <v>2402.1715630930362</v>
      </c>
      <c r="F32" s="78">
        <f t="shared" si="14"/>
        <v>5.3992157639102922</v>
      </c>
      <c r="G32" s="78">
        <f t="shared" si="14"/>
        <v>37.079225135223865</v>
      </c>
      <c r="H32" s="79">
        <f t="shared" si="14"/>
        <v>211.88159703804865</v>
      </c>
      <c r="I32" s="78">
        <f t="shared" si="14"/>
        <v>3.7983337975741307</v>
      </c>
      <c r="J32" s="78">
        <f t="shared" si="14"/>
        <v>0</v>
      </c>
      <c r="K32" s="78">
        <f t="shared" si="14"/>
        <v>24.85701489015376</v>
      </c>
      <c r="L32" s="79">
        <f t="shared" si="14"/>
        <v>15.205602390967742</v>
      </c>
      <c r="M32" s="78">
        <f t="shared" si="14"/>
        <v>14.056275164102198</v>
      </c>
      <c r="N32" s="78">
        <f t="shared" si="14"/>
        <v>0</v>
      </c>
      <c r="O32" s="78">
        <f t="shared" si="14"/>
        <v>9.4116650529582628</v>
      </c>
      <c r="P32" s="79">
        <f t="shared" si="14"/>
        <v>10.198045134020814</v>
      </c>
      <c r="Q32" s="78">
        <f t="shared" si="14"/>
        <v>5.8980038533625176</v>
      </c>
      <c r="R32" s="78">
        <f t="shared" si="14"/>
        <v>0</v>
      </c>
      <c r="S32" s="78">
        <f t="shared" si="14"/>
        <v>0</v>
      </c>
      <c r="T32" s="79">
        <f t="shared" si="14"/>
        <v>3.9014937844327147</v>
      </c>
      <c r="U32" s="80">
        <f t="shared" si="14"/>
        <v>36.331463177800693</v>
      </c>
      <c r="V32" s="80">
        <f t="shared" si="14"/>
        <v>32.203554164300456</v>
      </c>
      <c r="W32" s="80">
        <f t="shared" si="14"/>
        <v>10.706594026544117</v>
      </c>
      <c r="X32" s="81">
        <f t="shared" si="14"/>
        <v>30.903245093006156</v>
      </c>
      <c r="Y32" s="4"/>
      <c r="Z32" s="331"/>
    </row>
    <row r="33" spans="2:26">
      <c r="B33" s="235"/>
      <c r="C33" s="10" t="s">
        <v>232</v>
      </c>
      <c r="D33" s="80">
        <f t="shared" ref="D33:X33" si="15">(D25*200000)/D28</f>
        <v>2.526826474403248</v>
      </c>
      <c r="E33" s="80">
        <f t="shared" si="15"/>
        <v>6.0054289077325906</v>
      </c>
      <c r="F33" s="80">
        <f t="shared" si="15"/>
        <v>1.3498039409775731</v>
      </c>
      <c r="G33" s="80">
        <f t="shared" si="15"/>
        <v>0.60686129517551335</v>
      </c>
      <c r="H33" s="81">
        <f t="shared" si="15"/>
        <v>1.4636662357336292</v>
      </c>
      <c r="I33" s="80">
        <f t="shared" si="15"/>
        <v>2.1101854430967393</v>
      </c>
      <c r="J33" s="80">
        <f t="shared" si="15"/>
        <v>5.5388271785214354</v>
      </c>
      <c r="K33" s="80">
        <f t="shared" si="15"/>
        <v>2.1764206585848913</v>
      </c>
      <c r="L33" s="81">
        <f t="shared" si="15"/>
        <v>2.5881876410157858</v>
      </c>
      <c r="M33" s="80">
        <f t="shared" si="15"/>
        <v>2.1180688603441671</v>
      </c>
      <c r="N33" s="80">
        <f t="shared" si="15"/>
        <v>1.2216724696108974</v>
      </c>
      <c r="O33" s="80">
        <f t="shared" si="15"/>
        <v>2.3529162632395657</v>
      </c>
      <c r="P33" s="81">
        <f t="shared" si="15"/>
        <v>2.0757083016148559</v>
      </c>
      <c r="Q33" s="80">
        <f t="shared" si="15"/>
        <v>1.6383344037118104</v>
      </c>
      <c r="R33" s="80">
        <f t="shared" si="15"/>
        <v>1.5591097483337015</v>
      </c>
      <c r="S33" s="80">
        <f t="shared" si="15"/>
        <v>3.3352789126990743</v>
      </c>
      <c r="T33" s="81">
        <f t="shared" si="15"/>
        <v>1.8423720648710042</v>
      </c>
      <c r="U33" s="80">
        <f t="shared" si="15"/>
        <v>0.26137743293381793</v>
      </c>
      <c r="V33" s="80">
        <f t="shared" si="15"/>
        <v>1.3850991038408798</v>
      </c>
      <c r="W33" s="80">
        <f t="shared" si="15"/>
        <v>0</v>
      </c>
      <c r="X33" s="81">
        <f t="shared" si="15"/>
        <v>0.63067847128583987</v>
      </c>
      <c r="Y33" s="4"/>
      <c r="Z33" s="331"/>
    </row>
    <row r="34" spans="2:26" ht="17" thickBot="1">
      <c r="B34" s="285"/>
      <c r="C34" s="286"/>
      <c r="D34" s="286"/>
      <c r="E34" s="286"/>
      <c r="F34" s="286"/>
      <c r="G34" s="286"/>
      <c r="H34" s="288"/>
      <c r="I34" s="286"/>
      <c r="J34" s="286"/>
      <c r="K34" s="286"/>
      <c r="L34" s="288"/>
      <c r="M34" s="288"/>
      <c r="N34" s="288"/>
      <c r="O34" s="288"/>
      <c r="P34" s="288"/>
      <c r="Q34" s="288"/>
      <c r="R34" s="288"/>
      <c r="S34" s="288"/>
      <c r="T34" s="288"/>
      <c r="U34" s="288"/>
      <c r="V34" s="288"/>
      <c r="W34" s="288"/>
      <c r="X34" s="288"/>
      <c r="Y34" s="4"/>
      <c r="Z34" s="331"/>
    </row>
    <row r="35" spans="2:26">
      <c r="B35" s="7" t="s">
        <v>236</v>
      </c>
      <c r="C35" s="8"/>
      <c r="D35" s="8"/>
      <c r="E35" s="8"/>
      <c r="F35" s="8"/>
      <c r="G35" s="8"/>
      <c r="H35" s="4"/>
      <c r="I35" s="8"/>
      <c r="J35" s="8"/>
      <c r="K35" s="8"/>
      <c r="L35" s="4"/>
      <c r="M35" s="4"/>
      <c r="N35" s="4"/>
      <c r="O35" s="4"/>
      <c r="P35" s="4"/>
      <c r="Q35" s="4"/>
      <c r="R35" s="4"/>
      <c r="S35" s="4"/>
      <c r="T35" s="4"/>
      <c r="U35" s="4"/>
      <c r="V35" s="4"/>
      <c r="W35" s="4"/>
      <c r="X35" s="4"/>
      <c r="Y35" s="4"/>
      <c r="Z35" s="331"/>
    </row>
    <row r="36" spans="2:26">
      <c r="B36" s="235"/>
      <c r="C36" s="10" t="s">
        <v>223</v>
      </c>
      <c r="D36" s="82">
        <v>10</v>
      </c>
      <c r="E36" s="82">
        <v>7</v>
      </c>
      <c r="F36" s="82">
        <v>11</v>
      </c>
      <c r="G36" s="82">
        <v>18</v>
      </c>
      <c r="H36" s="76">
        <f>H6+H21</f>
        <v>46</v>
      </c>
      <c r="I36" s="82">
        <v>22</v>
      </c>
      <c r="J36" s="82">
        <v>16</v>
      </c>
      <c r="K36" s="82">
        <v>19</v>
      </c>
      <c r="L36" s="76">
        <f t="shared" ref="L36:T36" si="16">L6+L21</f>
        <v>57</v>
      </c>
      <c r="M36" s="55">
        <f t="shared" si="16"/>
        <v>15</v>
      </c>
      <c r="N36" s="55">
        <f t="shared" si="16"/>
        <v>8</v>
      </c>
      <c r="O36" s="55">
        <f t="shared" si="16"/>
        <v>4</v>
      </c>
      <c r="P36" s="76">
        <f t="shared" si="16"/>
        <v>27</v>
      </c>
      <c r="Q36" s="55">
        <f t="shared" si="16"/>
        <v>13</v>
      </c>
      <c r="R36" s="55">
        <f t="shared" si="16"/>
        <v>8</v>
      </c>
      <c r="S36" s="55">
        <f t="shared" si="16"/>
        <v>1</v>
      </c>
      <c r="T36" s="76">
        <f t="shared" si="16"/>
        <v>22</v>
      </c>
      <c r="U36" s="55">
        <f t="shared" ref="U36:V38" si="17">U6+U21</f>
        <v>9</v>
      </c>
      <c r="V36" s="55">
        <f t="shared" si="17"/>
        <v>10</v>
      </c>
      <c r="W36" s="55">
        <v>20</v>
      </c>
      <c r="X36" s="76">
        <f t="shared" ref="X36:X43" si="18">SUM(U36:W36)</f>
        <v>39</v>
      </c>
      <c r="Y36" s="4"/>
      <c r="Z36" s="331"/>
    </row>
    <row r="37" spans="2:26">
      <c r="B37" s="235"/>
      <c r="C37" s="10" t="s">
        <v>224</v>
      </c>
      <c r="D37" s="82">
        <v>5</v>
      </c>
      <c r="E37" s="82">
        <v>4</v>
      </c>
      <c r="F37" s="82">
        <v>3</v>
      </c>
      <c r="G37" s="82">
        <v>10</v>
      </c>
      <c r="H37" s="76">
        <f>H7+H22</f>
        <v>22</v>
      </c>
      <c r="I37" s="82">
        <v>8</v>
      </c>
      <c r="J37" s="82">
        <v>8</v>
      </c>
      <c r="K37" s="82">
        <v>9</v>
      </c>
      <c r="L37" s="76">
        <f t="shared" ref="L37:T37" si="19">L7+L22</f>
        <v>25</v>
      </c>
      <c r="M37" s="55">
        <f t="shared" si="19"/>
        <v>7</v>
      </c>
      <c r="N37" s="55">
        <f t="shared" si="19"/>
        <v>5</v>
      </c>
      <c r="O37" s="55">
        <f t="shared" si="19"/>
        <v>2</v>
      </c>
      <c r="P37" s="76">
        <f t="shared" si="19"/>
        <v>14</v>
      </c>
      <c r="Q37" s="55">
        <f t="shared" si="19"/>
        <v>1</v>
      </c>
      <c r="R37" s="55">
        <f t="shared" si="19"/>
        <v>4</v>
      </c>
      <c r="S37" s="55">
        <f t="shared" si="19"/>
        <v>0</v>
      </c>
      <c r="T37" s="76">
        <f t="shared" si="19"/>
        <v>5</v>
      </c>
      <c r="U37" s="55">
        <f t="shared" si="17"/>
        <v>3</v>
      </c>
      <c r="V37" s="55">
        <f t="shared" si="17"/>
        <v>7</v>
      </c>
      <c r="W37" s="55">
        <f>W7+W22</f>
        <v>16</v>
      </c>
      <c r="X37" s="76">
        <f t="shared" si="18"/>
        <v>26</v>
      </c>
      <c r="Y37" s="4"/>
      <c r="Z37" s="331"/>
    </row>
    <row r="38" spans="2:26">
      <c r="B38" s="235"/>
      <c r="C38" s="10" t="s">
        <v>234</v>
      </c>
      <c r="D38" s="82">
        <v>0</v>
      </c>
      <c r="E38" s="82">
        <v>1</v>
      </c>
      <c r="F38" s="82">
        <v>0</v>
      </c>
      <c r="G38" s="82">
        <v>0</v>
      </c>
      <c r="H38" s="76">
        <f>H8+H23</f>
        <v>1</v>
      </c>
      <c r="I38" s="82">
        <v>0</v>
      </c>
      <c r="J38" s="82">
        <v>0</v>
      </c>
      <c r="K38" s="82">
        <v>0</v>
      </c>
      <c r="L38" s="76">
        <f t="shared" ref="L38:T38" si="20">L8+L23</f>
        <v>0</v>
      </c>
      <c r="M38" s="55">
        <f t="shared" si="20"/>
        <v>0</v>
      </c>
      <c r="N38" s="55">
        <f t="shared" si="20"/>
        <v>0</v>
      </c>
      <c r="O38" s="55">
        <f t="shared" si="20"/>
        <v>0</v>
      </c>
      <c r="P38" s="76">
        <f t="shared" si="20"/>
        <v>0</v>
      </c>
      <c r="Q38" s="55">
        <f t="shared" si="20"/>
        <v>0</v>
      </c>
      <c r="R38" s="55">
        <f t="shared" si="20"/>
        <v>0</v>
      </c>
      <c r="S38" s="55">
        <f t="shared" si="20"/>
        <v>0</v>
      </c>
      <c r="T38" s="76">
        <f t="shared" si="20"/>
        <v>0</v>
      </c>
      <c r="U38" s="55">
        <f t="shared" si="17"/>
        <v>0</v>
      </c>
      <c r="V38" s="55">
        <f t="shared" si="17"/>
        <v>0</v>
      </c>
      <c r="W38" s="55">
        <f>W8+W23</f>
        <v>0</v>
      </c>
      <c r="X38" s="76">
        <f t="shared" si="18"/>
        <v>0</v>
      </c>
      <c r="Y38" s="4"/>
      <c r="Z38" s="331"/>
    </row>
    <row r="39" spans="2:26">
      <c r="B39" s="235"/>
      <c r="C39" s="10" t="s">
        <v>226</v>
      </c>
      <c r="D39" s="10">
        <v>0</v>
      </c>
      <c r="E39" s="10">
        <v>0</v>
      </c>
      <c r="F39" s="10">
        <v>0</v>
      </c>
      <c r="G39" s="10">
        <v>0</v>
      </c>
      <c r="H39" s="76">
        <f>SUM(D39:G39)</f>
        <v>0</v>
      </c>
      <c r="I39" s="10">
        <v>0</v>
      </c>
      <c r="J39" s="10">
        <v>0</v>
      </c>
      <c r="K39" s="10">
        <v>0</v>
      </c>
      <c r="L39" s="76">
        <f>SUM(I39:K39)</f>
        <v>0</v>
      </c>
      <c r="M39" s="10">
        <v>0</v>
      </c>
      <c r="N39" s="10">
        <v>0</v>
      </c>
      <c r="O39" s="10">
        <v>0</v>
      </c>
      <c r="P39" s="76">
        <f>SUM(M39:O39)</f>
        <v>0</v>
      </c>
      <c r="Q39" s="10">
        <v>0</v>
      </c>
      <c r="R39" s="4"/>
      <c r="S39" s="55"/>
      <c r="T39" s="76">
        <v>0</v>
      </c>
      <c r="U39" s="55"/>
      <c r="V39" s="55"/>
      <c r="W39" s="55"/>
      <c r="X39" s="76"/>
      <c r="Y39" s="4"/>
      <c r="Z39" s="331"/>
    </row>
    <row r="40" spans="2:26">
      <c r="B40" s="235"/>
      <c r="C40" s="10" t="s">
        <v>227</v>
      </c>
      <c r="D40" s="82">
        <v>25</v>
      </c>
      <c r="E40" s="82">
        <v>38</v>
      </c>
      <c r="F40" s="82">
        <v>23</v>
      </c>
      <c r="G40" s="82">
        <v>16</v>
      </c>
      <c r="H40" s="76">
        <f>H10+H25</f>
        <v>102</v>
      </c>
      <c r="I40" s="82">
        <v>24</v>
      </c>
      <c r="J40" s="82">
        <v>37</v>
      </c>
      <c r="K40" s="82">
        <v>31</v>
      </c>
      <c r="L40" s="76">
        <f t="shared" ref="L40:T40" si="21">L10+L25</f>
        <v>92</v>
      </c>
      <c r="M40" s="55">
        <f t="shared" si="21"/>
        <v>23</v>
      </c>
      <c r="N40" s="55">
        <f t="shared" si="21"/>
        <v>8</v>
      </c>
      <c r="O40" s="55">
        <f t="shared" si="21"/>
        <v>13</v>
      </c>
      <c r="P40" s="76">
        <f t="shared" si="21"/>
        <v>44</v>
      </c>
      <c r="Q40" s="55">
        <f t="shared" si="21"/>
        <v>24</v>
      </c>
      <c r="R40" s="55">
        <f t="shared" si="21"/>
        <v>12</v>
      </c>
      <c r="S40" s="55">
        <f t="shared" si="21"/>
        <v>6</v>
      </c>
      <c r="T40" s="76">
        <f t="shared" si="21"/>
        <v>42</v>
      </c>
      <c r="U40" s="55">
        <f>U10+U25</f>
        <v>5</v>
      </c>
      <c r="V40" s="55">
        <f>V10+V25</f>
        <v>6</v>
      </c>
      <c r="W40" s="55">
        <f>W10+W25</f>
        <v>1</v>
      </c>
      <c r="X40" s="76">
        <f t="shared" si="18"/>
        <v>12</v>
      </c>
      <c r="Y40" s="4"/>
      <c r="Z40" s="331"/>
    </row>
    <row r="41" spans="2:26">
      <c r="B41" s="235"/>
      <c r="C41" s="10" t="s">
        <v>228</v>
      </c>
      <c r="D41" s="82">
        <v>13</v>
      </c>
      <c r="E41" s="82">
        <v>9</v>
      </c>
      <c r="F41" s="82">
        <v>8</v>
      </c>
      <c r="G41" s="82">
        <v>17</v>
      </c>
      <c r="H41" s="76">
        <f>H11+H26</f>
        <v>47</v>
      </c>
      <c r="I41" s="82">
        <v>16</v>
      </c>
      <c r="J41" s="82">
        <v>10</v>
      </c>
      <c r="K41" s="82">
        <v>12</v>
      </c>
      <c r="L41" s="76">
        <f t="shared" ref="L41:T41" si="22">L11+L26</f>
        <v>38</v>
      </c>
      <c r="M41" s="55">
        <f t="shared" si="22"/>
        <v>10</v>
      </c>
      <c r="N41" s="55">
        <f t="shared" si="22"/>
        <v>11</v>
      </c>
      <c r="O41" s="55">
        <f t="shared" si="22"/>
        <v>7</v>
      </c>
      <c r="P41" s="76">
        <f t="shared" si="22"/>
        <v>28</v>
      </c>
      <c r="Q41" s="55">
        <f t="shared" si="22"/>
        <v>13</v>
      </c>
      <c r="R41" s="55">
        <f t="shared" si="22"/>
        <v>11</v>
      </c>
      <c r="S41" s="55">
        <f t="shared" si="22"/>
        <v>1</v>
      </c>
      <c r="T41" s="76">
        <f t="shared" si="22"/>
        <v>25</v>
      </c>
      <c r="U41" s="77" t="s">
        <v>26</v>
      </c>
      <c r="V41" s="77" t="s">
        <v>26</v>
      </c>
      <c r="W41" s="77" t="s">
        <v>26</v>
      </c>
      <c r="X41" s="76">
        <f t="shared" si="18"/>
        <v>0</v>
      </c>
      <c r="Y41" s="4"/>
      <c r="Z41" s="331"/>
    </row>
    <row r="42" spans="2:26">
      <c r="B42" s="235"/>
      <c r="C42" s="10" t="s">
        <v>229</v>
      </c>
      <c r="D42" s="82">
        <v>374</v>
      </c>
      <c r="E42" s="82">
        <v>6190</v>
      </c>
      <c r="F42" s="82">
        <v>166</v>
      </c>
      <c r="G42" s="82">
        <v>1109</v>
      </c>
      <c r="H42" s="76">
        <f>H12+H27</f>
        <v>7839</v>
      </c>
      <c r="I42" s="82">
        <v>331</v>
      </c>
      <c r="J42" s="82">
        <v>410</v>
      </c>
      <c r="K42" s="82">
        <v>367</v>
      </c>
      <c r="L42" s="76">
        <f t="shared" ref="L42:T42" si="23">L12+L27</f>
        <v>1108</v>
      </c>
      <c r="M42" s="55">
        <f t="shared" si="23"/>
        <v>199</v>
      </c>
      <c r="N42" s="55">
        <f t="shared" si="23"/>
        <v>235</v>
      </c>
      <c r="O42" s="55">
        <f t="shared" si="23"/>
        <v>40</v>
      </c>
      <c r="P42" s="76">
        <f t="shared" si="23"/>
        <v>474</v>
      </c>
      <c r="Q42" s="55">
        <f t="shared" si="23"/>
        <v>46</v>
      </c>
      <c r="R42" s="55">
        <f t="shared" si="23"/>
        <v>141</v>
      </c>
      <c r="S42" s="55">
        <f t="shared" si="23"/>
        <v>0</v>
      </c>
      <c r="T42" s="76">
        <f t="shared" si="23"/>
        <v>187</v>
      </c>
      <c r="U42" s="55">
        <f t="shared" ref="U42:W43" si="24">U12+U27</f>
        <v>225</v>
      </c>
      <c r="V42" s="55">
        <f t="shared" si="24"/>
        <v>202</v>
      </c>
      <c r="W42" s="55">
        <f t="shared" si="24"/>
        <v>213</v>
      </c>
      <c r="X42" s="76">
        <f t="shared" si="18"/>
        <v>640</v>
      </c>
      <c r="Y42" s="4"/>
      <c r="Z42" s="331"/>
    </row>
    <row r="43" spans="2:26">
      <c r="B43" s="235"/>
      <c r="C43" s="10" t="s">
        <v>235</v>
      </c>
      <c r="D43" s="55">
        <v>2431936</v>
      </c>
      <c r="E43" s="55">
        <v>1615835</v>
      </c>
      <c r="F43" s="55">
        <v>2898375</v>
      </c>
      <c r="G43" s="55">
        <v>4709679</v>
      </c>
      <c r="H43" s="76">
        <f>H13+H28</f>
        <v>11655825</v>
      </c>
      <c r="I43" s="55">
        <f>I13+I28</f>
        <v>2600716</v>
      </c>
      <c r="J43" s="55">
        <f>J13+J28</f>
        <v>1499290</v>
      </c>
      <c r="K43" s="55">
        <f>K13+K28</f>
        <v>2331110</v>
      </c>
      <c r="L43" s="76">
        <f t="shared" ref="L43:T43" si="25">L13+L28</f>
        <v>6431116</v>
      </c>
      <c r="M43" s="55">
        <f t="shared" si="25"/>
        <v>2667521</v>
      </c>
      <c r="N43" s="55">
        <f t="shared" si="25"/>
        <v>1516082</v>
      </c>
      <c r="O43" s="55">
        <f t="shared" si="25"/>
        <v>1061872</v>
      </c>
      <c r="P43" s="76">
        <f t="shared" si="25"/>
        <v>5245475</v>
      </c>
      <c r="Q43" s="55">
        <f t="shared" si="25"/>
        <v>3039130</v>
      </c>
      <c r="R43" s="55">
        <f t="shared" si="25"/>
        <v>1599999</v>
      </c>
      <c r="S43" s="55">
        <f t="shared" si="25"/>
        <v>406080</v>
      </c>
      <c r="T43" s="76">
        <f t="shared" si="25"/>
        <v>5045209</v>
      </c>
      <c r="U43" s="55">
        <f t="shared" si="24"/>
        <v>1703444</v>
      </c>
      <c r="V43" s="55">
        <f t="shared" si="24"/>
        <v>1322725</v>
      </c>
      <c r="W43" s="55">
        <f t="shared" si="24"/>
        <v>709520</v>
      </c>
      <c r="X43" s="76">
        <f t="shared" si="18"/>
        <v>3735689</v>
      </c>
      <c r="Y43" s="4"/>
      <c r="Z43" s="331"/>
    </row>
    <row r="44" spans="2:26">
      <c r="B44" s="235"/>
      <c r="C44" s="10" t="s">
        <v>231</v>
      </c>
      <c r="D44" s="82">
        <v>0</v>
      </c>
      <c r="E44" s="82">
        <v>0</v>
      </c>
      <c r="F44" s="82">
        <v>0</v>
      </c>
      <c r="G44" s="82">
        <v>0</v>
      </c>
      <c r="H44" s="76">
        <f>H29+H14</f>
        <v>0</v>
      </c>
      <c r="I44" s="82">
        <v>0</v>
      </c>
      <c r="J44" s="82">
        <v>0</v>
      </c>
      <c r="K44" s="82">
        <v>0</v>
      </c>
      <c r="L44" s="76">
        <f t="shared" ref="L44:X44" si="26">L29+L14</f>
        <v>0</v>
      </c>
      <c r="M44" s="55">
        <f t="shared" si="26"/>
        <v>0</v>
      </c>
      <c r="N44" s="55">
        <f t="shared" si="26"/>
        <v>0</v>
      </c>
      <c r="O44" s="55">
        <f t="shared" si="26"/>
        <v>0</v>
      </c>
      <c r="P44" s="76">
        <f t="shared" si="26"/>
        <v>0</v>
      </c>
      <c r="Q44" s="55">
        <f t="shared" si="26"/>
        <v>0</v>
      </c>
      <c r="R44" s="55">
        <f t="shared" si="26"/>
        <v>0</v>
      </c>
      <c r="S44" s="55">
        <f t="shared" si="26"/>
        <v>0</v>
      </c>
      <c r="T44" s="76">
        <f t="shared" si="26"/>
        <v>0</v>
      </c>
      <c r="U44" s="55">
        <f t="shared" si="26"/>
        <v>0</v>
      </c>
      <c r="V44" s="55">
        <f t="shared" si="26"/>
        <v>0</v>
      </c>
      <c r="W44" s="55">
        <f t="shared" si="26"/>
        <v>0</v>
      </c>
      <c r="X44" s="76">
        <f t="shared" si="26"/>
        <v>0</v>
      </c>
      <c r="Y44" s="4"/>
      <c r="Z44" s="331"/>
    </row>
    <row r="45" spans="2:26">
      <c r="B45" s="240"/>
      <c r="C45" s="14" t="s">
        <v>625</v>
      </c>
      <c r="D45" s="72">
        <f>(D36*200000)/D43</f>
        <v>0.82239006289639205</v>
      </c>
      <c r="E45" s="72">
        <f>(E36*200000)/E43</f>
        <v>0.86642509909737075</v>
      </c>
      <c r="F45" s="72">
        <f>(F36*200000)/F43</f>
        <v>0.75904601716479059</v>
      </c>
      <c r="G45" s="72">
        <f>(G36*200000)/G43</f>
        <v>0.76438330510423325</v>
      </c>
      <c r="H45" s="79">
        <f>(H36*200000)/H43</f>
        <v>0.78930491835627248</v>
      </c>
      <c r="I45" s="72">
        <f t="shared" ref="I45:X45" si="27">(I36*200000)/I43</f>
        <v>1.6918417851084087</v>
      </c>
      <c r="J45" s="72">
        <f t="shared" si="27"/>
        <v>2.1343435892989349</v>
      </c>
      <c r="K45" s="72">
        <f t="shared" si="27"/>
        <v>1.6301247045398972</v>
      </c>
      <c r="L45" s="79">
        <f t="shared" si="27"/>
        <v>1.7726316863200726</v>
      </c>
      <c r="M45" s="72">
        <f t="shared" si="27"/>
        <v>1.1246396935581764</v>
      </c>
      <c r="N45" s="72">
        <f t="shared" si="27"/>
        <v>1.055351887298972</v>
      </c>
      <c r="O45" s="72">
        <f t="shared" si="27"/>
        <v>0.75338647219250532</v>
      </c>
      <c r="P45" s="79">
        <f t="shared" si="27"/>
        <v>1.0294587239477835</v>
      </c>
      <c r="Q45" s="72">
        <f t="shared" si="27"/>
        <v>0.85550799077367534</v>
      </c>
      <c r="R45" s="72">
        <f t="shared" si="27"/>
        <v>1.0000006250003906</v>
      </c>
      <c r="S45" s="72">
        <f t="shared" si="27"/>
        <v>0.4925137903861308</v>
      </c>
      <c r="T45" s="79">
        <f t="shared" si="27"/>
        <v>0.8721145149784677</v>
      </c>
      <c r="U45" s="72">
        <f t="shared" si="27"/>
        <v>1.0566828143455258</v>
      </c>
      <c r="V45" s="72">
        <f t="shared" si="27"/>
        <v>1.512030089398779</v>
      </c>
      <c r="W45" s="72">
        <f t="shared" si="27"/>
        <v>5.6376141616867743</v>
      </c>
      <c r="X45" s="79">
        <f t="shared" si="27"/>
        <v>2.087968243609144</v>
      </c>
      <c r="Y45" s="4"/>
      <c r="Z45" s="331"/>
    </row>
    <row r="46" spans="2:26">
      <c r="B46" s="235"/>
      <c r="C46" s="14" t="s">
        <v>626</v>
      </c>
      <c r="D46" s="72">
        <f t="shared" ref="D46:L46" si="28">((D37+D38)*200000)/D43</f>
        <v>0.41119503144819602</v>
      </c>
      <c r="E46" s="72">
        <f t="shared" si="28"/>
        <v>0.61887507078383619</v>
      </c>
      <c r="F46" s="72">
        <f t="shared" si="28"/>
        <v>0.20701255013585199</v>
      </c>
      <c r="G46" s="72">
        <f t="shared" si="28"/>
        <v>0.42465739172457401</v>
      </c>
      <c r="H46" s="330">
        <f t="shared" si="28"/>
        <v>0.39465245917813624</v>
      </c>
      <c r="I46" s="72">
        <f t="shared" si="28"/>
        <v>0.61521519458487584</v>
      </c>
      <c r="J46" s="72">
        <f t="shared" si="28"/>
        <v>1.0671717946494674</v>
      </c>
      <c r="K46" s="72">
        <f t="shared" si="28"/>
        <v>0.77216433372942506</v>
      </c>
      <c r="L46" s="329">
        <f t="shared" si="28"/>
        <v>0.77747003785968094</v>
      </c>
      <c r="M46" s="72">
        <f t="shared" ref="M46:T46" si="29">(M37*200000)/M43</f>
        <v>0.52483185699381563</v>
      </c>
      <c r="N46" s="72">
        <f t="shared" si="29"/>
        <v>0.6595949295618575</v>
      </c>
      <c r="O46" s="72">
        <f t="shared" si="29"/>
        <v>0.37669323609625266</v>
      </c>
      <c r="P46" s="79">
        <f t="shared" si="29"/>
        <v>0.53379341241736922</v>
      </c>
      <c r="Q46" s="72">
        <f t="shared" si="29"/>
        <v>6.5808306982590409E-2</v>
      </c>
      <c r="R46" s="72">
        <f t="shared" si="29"/>
        <v>0.50000031250019528</v>
      </c>
      <c r="S46" s="61">
        <f t="shared" si="29"/>
        <v>0</v>
      </c>
      <c r="T46" s="79">
        <f t="shared" si="29"/>
        <v>0.19820784431328811</v>
      </c>
      <c r="U46" s="72">
        <f>(U37*200000)/U43</f>
        <v>0.35222760478184195</v>
      </c>
      <c r="V46" s="72">
        <f>(V37*200000)/V43</f>
        <v>1.0584210625791453</v>
      </c>
      <c r="W46" s="72">
        <f>(W37*200000)/W43</f>
        <v>4.5100913293494189</v>
      </c>
      <c r="X46" s="79">
        <f>(X37*200000)/X43</f>
        <v>1.3919788290727628</v>
      </c>
      <c r="Y46" s="4"/>
      <c r="Z46" s="331"/>
    </row>
    <row r="47" spans="2:26">
      <c r="B47" s="236"/>
      <c r="C47" s="14" t="s">
        <v>627</v>
      </c>
      <c r="D47" s="72">
        <f>(D42*200000)/D43</f>
        <v>30.757388352325062</v>
      </c>
      <c r="E47" s="72">
        <f>(E42*200000)/E43</f>
        <v>766.16733763038928</v>
      </c>
      <c r="F47" s="72">
        <f>(F42*200000)/F43</f>
        <v>11.454694440850476</v>
      </c>
      <c r="G47" s="72">
        <f>(G42*200000)/G43</f>
        <v>47.094504742255261</v>
      </c>
      <c r="H47" s="79">
        <f>(H42*200000)/H43</f>
        <v>134.50785336945262</v>
      </c>
      <c r="I47" s="72">
        <f t="shared" ref="I47:X47" si="30">(I42*200000)/I43</f>
        <v>25.454528675949238</v>
      </c>
      <c r="J47" s="72">
        <f t="shared" si="30"/>
        <v>54.692554475785208</v>
      </c>
      <c r="K47" s="72">
        <f t="shared" si="30"/>
        <v>31.487145608744331</v>
      </c>
      <c r="L47" s="79">
        <f t="shared" si="30"/>
        <v>34.457472077941063</v>
      </c>
      <c r="M47" s="72">
        <f t="shared" si="30"/>
        <v>14.920219934538473</v>
      </c>
      <c r="N47" s="72">
        <f t="shared" si="30"/>
        <v>31.000961689407301</v>
      </c>
      <c r="O47" s="72">
        <f t="shared" si="30"/>
        <v>7.5338647219250534</v>
      </c>
      <c r="P47" s="79">
        <f t="shared" si="30"/>
        <v>18.072719820416644</v>
      </c>
      <c r="Q47" s="72">
        <f t="shared" si="30"/>
        <v>3.027182121199159</v>
      </c>
      <c r="R47" s="72">
        <f t="shared" si="30"/>
        <v>17.625011015631884</v>
      </c>
      <c r="S47" s="61">
        <f t="shared" si="30"/>
        <v>0</v>
      </c>
      <c r="T47" s="79">
        <f t="shared" si="30"/>
        <v>7.412973377316975</v>
      </c>
      <c r="U47" s="74">
        <f t="shared" si="30"/>
        <v>26.417070358638146</v>
      </c>
      <c r="V47" s="74">
        <f t="shared" si="30"/>
        <v>30.543007805855336</v>
      </c>
      <c r="W47" s="74">
        <f t="shared" si="30"/>
        <v>60.040590821964145</v>
      </c>
      <c r="X47" s="81">
        <f t="shared" si="30"/>
        <v>34.264094254098772</v>
      </c>
      <c r="Y47" s="4"/>
      <c r="Z47" s="331"/>
    </row>
    <row r="48" spans="2:26">
      <c r="B48" s="235"/>
      <c r="C48" s="10" t="s">
        <v>232</v>
      </c>
      <c r="D48" s="74">
        <f>(D40*200000)/D43</f>
        <v>2.0559751572409799</v>
      </c>
      <c r="E48" s="74">
        <f>(E40*200000)/E43</f>
        <v>4.7034505379571554</v>
      </c>
      <c r="F48" s="74">
        <f>(F40*200000)/F43</f>
        <v>1.5870962177081986</v>
      </c>
      <c r="G48" s="74">
        <f>(G40*200000)/G43</f>
        <v>0.67945182675931837</v>
      </c>
      <c r="H48" s="81">
        <f>(H40*200000)/H43</f>
        <v>1.7501978624421695</v>
      </c>
      <c r="I48" s="74">
        <f t="shared" ref="I48:X48" si="31">(I40*200000)/I43</f>
        <v>1.8456455837546275</v>
      </c>
      <c r="J48" s="74">
        <f t="shared" si="31"/>
        <v>4.9356695502537864</v>
      </c>
      <c r="K48" s="74">
        <f t="shared" si="31"/>
        <v>2.659677149512464</v>
      </c>
      <c r="L48" s="81">
        <f t="shared" si="31"/>
        <v>2.8610897393236261</v>
      </c>
      <c r="M48" s="74">
        <f t="shared" si="31"/>
        <v>1.724447530122537</v>
      </c>
      <c r="N48" s="74">
        <f t="shared" si="31"/>
        <v>1.055351887298972</v>
      </c>
      <c r="O48" s="74">
        <f t="shared" si="31"/>
        <v>2.4485060346256424</v>
      </c>
      <c r="P48" s="81">
        <f t="shared" si="31"/>
        <v>1.6776364390260177</v>
      </c>
      <c r="Q48" s="74">
        <f t="shared" si="31"/>
        <v>1.5793993675821698</v>
      </c>
      <c r="R48" s="74">
        <f t="shared" si="31"/>
        <v>1.5000009375005858</v>
      </c>
      <c r="S48" s="74">
        <f t="shared" si="31"/>
        <v>2.9550827423167849</v>
      </c>
      <c r="T48" s="81">
        <f t="shared" si="31"/>
        <v>1.66494589223162</v>
      </c>
      <c r="U48" s="74">
        <f t="shared" si="31"/>
        <v>0.58704600796973661</v>
      </c>
      <c r="V48" s="74">
        <f t="shared" si="31"/>
        <v>0.90721805363926744</v>
      </c>
      <c r="W48" s="74">
        <f t="shared" si="31"/>
        <v>0.28188070808433868</v>
      </c>
      <c r="X48" s="81">
        <f t="shared" si="31"/>
        <v>0.64245176726435205</v>
      </c>
      <c r="Y48" s="4"/>
      <c r="Z48" s="331"/>
    </row>
    <row r="49" spans="2:24" s="172" customFormat="1">
      <c r="B49" s="686" t="s">
        <v>628</v>
      </c>
      <c r="C49" s="686"/>
      <c r="D49" s="686"/>
      <c r="E49" s="686"/>
      <c r="F49" s="686"/>
      <c r="G49" s="686"/>
      <c r="H49" s="686"/>
      <c r="I49" s="170"/>
      <c r="J49" s="170"/>
      <c r="K49" s="170"/>
      <c r="L49" s="170"/>
      <c r="M49" s="170"/>
      <c r="N49" s="170"/>
      <c r="O49" s="170"/>
      <c r="P49" s="170"/>
      <c r="Q49" s="170"/>
      <c r="R49" s="170"/>
      <c r="S49" s="170"/>
      <c r="T49" s="170"/>
      <c r="U49" s="170"/>
      <c r="V49" s="170"/>
      <c r="W49" s="170"/>
      <c r="X49" s="184"/>
    </row>
    <row r="50" spans="2:24" s="172" customFormat="1">
      <c r="B50" s="686" t="s">
        <v>629</v>
      </c>
      <c r="C50" s="686"/>
      <c r="D50" s="686"/>
      <c r="E50" s="686"/>
      <c r="F50" s="686"/>
      <c r="G50" s="686"/>
      <c r="H50" s="686"/>
      <c r="I50" s="170"/>
      <c r="J50" s="170"/>
      <c r="K50" s="170"/>
      <c r="L50" s="170"/>
      <c r="M50" s="170"/>
      <c r="N50" s="170"/>
      <c r="O50" s="170"/>
      <c r="P50" s="170"/>
      <c r="Q50" s="170"/>
      <c r="R50" s="170"/>
      <c r="S50" s="170"/>
      <c r="T50" s="170"/>
      <c r="U50" s="170"/>
      <c r="V50" s="170"/>
      <c r="W50" s="170"/>
      <c r="X50" s="184"/>
    </row>
    <row r="51" spans="2:24" s="172" customFormat="1">
      <c r="B51" s="686" t="s">
        <v>630</v>
      </c>
      <c r="C51" s="686"/>
      <c r="D51" s="686"/>
      <c r="E51" s="686"/>
      <c r="F51" s="686"/>
      <c r="G51" s="686"/>
      <c r="H51" s="686"/>
      <c r="I51" s="169"/>
      <c r="J51" s="169"/>
      <c r="K51" s="169"/>
      <c r="L51" s="171"/>
      <c r="M51" s="171"/>
      <c r="N51" s="171"/>
      <c r="O51" s="171"/>
      <c r="P51" s="171"/>
      <c r="Q51" s="171"/>
      <c r="R51" s="171"/>
      <c r="S51" s="171"/>
      <c r="T51" s="171"/>
      <c r="U51" s="171"/>
      <c r="V51" s="171"/>
      <c r="W51" s="171"/>
      <c r="X51" s="171"/>
    </row>
    <row r="52" spans="2:24" ht="17" thickBot="1">
      <c r="B52" s="285"/>
      <c r="C52" s="286"/>
      <c r="D52" s="286"/>
      <c r="E52" s="286"/>
      <c r="F52" s="286"/>
      <c r="G52" s="286"/>
      <c r="H52" s="285"/>
      <c r="I52" s="286"/>
      <c r="J52" s="286"/>
      <c r="K52" s="286"/>
      <c r="L52" s="285"/>
      <c r="M52" s="285"/>
      <c r="N52" s="285"/>
      <c r="O52" s="285"/>
      <c r="P52" s="285"/>
      <c r="Q52" s="285"/>
      <c r="R52" s="285"/>
      <c r="S52" s="285"/>
      <c r="T52" s="285"/>
      <c r="U52" s="288"/>
      <c r="V52" s="288"/>
      <c r="W52" s="288"/>
      <c r="X52" s="288"/>
    </row>
    <row r="53" spans="2:24" s="220" customFormat="1" ht="15">
      <c r="B53" s="221" t="s">
        <v>237</v>
      </c>
      <c r="C53" s="222"/>
      <c r="D53" s="222"/>
      <c r="E53" s="222"/>
      <c r="F53" s="222"/>
      <c r="G53" s="222"/>
      <c r="I53" s="222"/>
      <c r="J53" s="222"/>
      <c r="K53" s="222"/>
    </row>
    <row r="54" spans="2:24" ht="30">
      <c r="B54" s="240"/>
      <c r="C54" s="10" t="s">
        <v>238</v>
      </c>
      <c r="D54" s="55">
        <f>+Workforce!D30</f>
        <v>855</v>
      </c>
      <c r="E54" s="55">
        <f>+Workforce!E30</f>
        <v>744</v>
      </c>
      <c r="F54" s="55">
        <f>+Workforce!F30</f>
        <v>1039</v>
      </c>
      <c r="G54" s="55">
        <f>+Workforce!G30</f>
        <v>2476</v>
      </c>
      <c r="H54" s="395">
        <f>SUM(D54:G54)</f>
        <v>5114</v>
      </c>
      <c r="I54" s="55">
        <f>+Workforce!L30</f>
        <v>775</v>
      </c>
      <c r="J54" s="55">
        <f>+Workforce!M30</f>
        <v>718</v>
      </c>
      <c r="K54" s="55">
        <f>+Workforce!N30</f>
        <v>1181</v>
      </c>
      <c r="L54" s="223">
        <f>SUM(I54:K54)</f>
        <v>2674</v>
      </c>
      <c r="M54" s="72" t="e">
        <f>(M49*200000)/#REF!</f>
        <v>#REF!</v>
      </c>
      <c r="N54" s="72" t="e">
        <f>(N49*200000)/#REF!</f>
        <v>#REF!</v>
      </c>
      <c r="O54" s="72" t="e">
        <f>(O49*200000)/#REF!</f>
        <v>#REF!</v>
      </c>
      <c r="P54" s="76">
        <v>2330</v>
      </c>
      <c r="Q54" s="227" t="e">
        <f>(Q49*200000)/#REF!</f>
        <v>#REF!</v>
      </c>
      <c r="R54" s="227" t="e">
        <f>(R49*200000)/#REF!</f>
        <v>#REF!</v>
      </c>
      <c r="S54" s="227" t="e">
        <f>(S49*200000)/#REF!</f>
        <v>#REF!</v>
      </c>
      <c r="T54" s="76">
        <v>1855</v>
      </c>
      <c r="U54" s="72" t="e">
        <f>(U49*200000)/#REF!</f>
        <v>#REF!</v>
      </c>
      <c r="V54" s="72" t="e">
        <f>(V49*200000)/#REF!</f>
        <v>#REF!</v>
      </c>
      <c r="W54" s="72" t="e">
        <f>(W49*200000)/#REF!</f>
        <v>#REF!</v>
      </c>
      <c r="X54" s="79" t="e">
        <f>(X49*200000)/#REF!</f>
        <v>#REF!</v>
      </c>
    </row>
    <row r="55" spans="2:24" ht="30">
      <c r="B55" s="235"/>
      <c r="C55" s="10" t="s">
        <v>239</v>
      </c>
      <c r="D55" s="225">
        <v>1</v>
      </c>
      <c r="E55" s="225">
        <v>1</v>
      </c>
      <c r="F55" s="225">
        <v>1</v>
      </c>
      <c r="G55" s="225">
        <v>1</v>
      </c>
      <c r="H55" s="224">
        <v>1</v>
      </c>
      <c r="I55" s="225">
        <v>1</v>
      </c>
      <c r="J55" s="225">
        <v>1</v>
      </c>
      <c r="K55" s="225">
        <v>1</v>
      </c>
      <c r="L55" s="224">
        <v>1</v>
      </c>
      <c r="M55" s="72" t="e">
        <f>(M50*200000)/#REF!</f>
        <v>#REF!</v>
      </c>
      <c r="N55" s="72" t="e">
        <f>(N50*200000)/#REF!</f>
        <v>#REF!</v>
      </c>
      <c r="O55" s="72" t="e">
        <f>(O50*200000)/#REF!</f>
        <v>#REF!</v>
      </c>
      <c r="P55" s="226">
        <v>1</v>
      </c>
      <c r="Q55" s="72" t="e">
        <f>(Q50*200000)/#REF!</f>
        <v>#REF!</v>
      </c>
      <c r="R55" s="72" t="e">
        <f>(R50*200000)/#REF!</f>
        <v>#REF!</v>
      </c>
      <c r="S55" s="61" t="e">
        <f>(S50*200000)/#REF!</f>
        <v>#REF!</v>
      </c>
      <c r="T55" s="226">
        <v>1</v>
      </c>
      <c r="U55" s="72" t="e">
        <f>(U50*200000)/#REF!</f>
        <v>#REF!</v>
      </c>
      <c r="V55" s="72" t="e">
        <f>(V50*200000)/#REF!</f>
        <v>#REF!</v>
      </c>
      <c r="W55" s="72" t="e">
        <f>(W50*200000)/#REF!</f>
        <v>#REF!</v>
      </c>
      <c r="X55" s="79" t="e">
        <f>(X50*200000)/#REF!</f>
        <v>#REF!</v>
      </c>
    </row>
    <row r="56" spans="2:24" ht="17" thickBot="1">
      <c r="B56" s="285"/>
      <c r="C56" s="286"/>
      <c r="D56" s="286"/>
      <c r="E56" s="286"/>
      <c r="F56" s="286"/>
      <c r="G56" s="286"/>
      <c r="H56" s="286"/>
      <c r="I56" s="286"/>
      <c r="J56" s="285"/>
      <c r="K56" s="286"/>
      <c r="L56" s="286"/>
      <c r="M56" s="286"/>
      <c r="N56" s="286"/>
      <c r="O56" s="286"/>
      <c r="P56" s="285"/>
      <c r="Q56" s="285"/>
      <c r="R56" s="285"/>
      <c r="S56" s="285"/>
      <c r="T56" s="285"/>
      <c r="U56" s="285"/>
      <c r="V56" s="285"/>
      <c r="W56" s="290"/>
      <c r="X56" s="285"/>
    </row>
    <row r="57" spans="2:24">
      <c r="B57" s="221" t="s">
        <v>632</v>
      </c>
    </row>
    <row r="58" spans="2:24">
      <c r="C58" s="10" t="s">
        <v>240</v>
      </c>
      <c r="D58" s="55">
        <v>288</v>
      </c>
      <c r="E58" s="55">
        <v>0</v>
      </c>
      <c r="F58" s="55">
        <v>336</v>
      </c>
      <c r="G58" s="55">
        <v>1240</v>
      </c>
      <c r="H58" s="324">
        <f t="shared" ref="H58:H64" si="32">SUM(D58:G58)</f>
        <v>1864</v>
      </c>
    </row>
    <row r="59" spans="2:24" ht="30">
      <c r="C59" s="10" t="s">
        <v>241</v>
      </c>
      <c r="D59" s="55">
        <v>10</v>
      </c>
      <c r="E59" s="55">
        <v>6</v>
      </c>
      <c r="F59" s="55">
        <v>2</v>
      </c>
      <c r="G59" s="55">
        <v>1</v>
      </c>
      <c r="H59" s="324">
        <f t="shared" si="32"/>
        <v>19</v>
      </c>
    </row>
    <row r="60" spans="2:24" ht="30">
      <c r="B60" s="4"/>
      <c r="C60" s="10" t="s">
        <v>242</v>
      </c>
      <c r="D60" s="55">
        <v>0</v>
      </c>
      <c r="E60" s="55">
        <v>120</v>
      </c>
      <c r="F60" s="55">
        <v>0</v>
      </c>
      <c r="G60" s="55">
        <v>0</v>
      </c>
      <c r="H60" s="324">
        <f t="shared" si="32"/>
        <v>120</v>
      </c>
    </row>
    <row r="61" spans="2:24" ht="30">
      <c r="B61" s="4"/>
      <c r="C61" s="10" t="s">
        <v>243</v>
      </c>
      <c r="D61" s="55">
        <v>16</v>
      </c>
      <c r="E61" s="55">
        <v>28</v>
      </c>
      <c r="F61" s="55">
        <v>0</v>
      </c>
      <c r="G61" s="55">
        <v>0</v>
      </c>
      <c r="H61" s="324">
        <f t="shared" si="32"/>
        <v>44</v>
      </c>
    </row>
    <row r="62" spans="2:24" ht="30">
      <c r="B62" s="4"/>
      <c r="C62" s="10" t="s">
        <v>244</v>
      </c>
      <c r="D62" s="55">
        <v>0</v>
      </c>
      <c r="E62" s="55">
        <v>0</v>
      </c>
      <c r="F62" s="342">
        <v>852</v>
      </c>
      <c r="G62" s="55">
        <v>0</v>
      </c>
      <c r="H62" s="324">
        <f t="shared" si="32"/>
        <v>852</v>
      </c>
    </row>
    <row r="63" spans="2:24" ht="30">
      <c r="B63" s="4"/>
      <c r="C63" s="10" t="s">
        <v>245</v>
      </c>
      <c r="D63" s="55">
        <v>418</v>
      </c>
      <c r="E63" s="55">
        <v>264</v>
      </c>
      <c r="F63" s="55">
        <v>77</v>
      </c>
      <c r="G63" s="55">
        <v>158</v>
      </c>
      <c r="H63" s="324">
        <f t="shared" si="32"/>
        <v>917</v>
      </c>
    </row>
    <row r="64" spans="2:24">
      <c r="B64" s="4"/>
      <c r="C64" s="10" t="s">
        <v>634</v>
      </c>
      <c r="D64" s="55">
        <v>1</v>
      </c>
      <c r="E64" s="55">
        <v>1</v>
      </c>
      <c r="F64" s="55">
        <v>1</v>
      </c>
      <c r="G64" s="55">
        <v>0</v>
      </c>
      <c r="H64" s="324">
        <f t="shared" si="32"/>
        <v>3</v>
      </c>
      <c r="I64" t="s">
        <v>246</v>
      </c>
    </row>
    <row r="65" spans="2:9" s="172" customFormat="1">
      <c r="B65" s="686" t="s">
        <v>633</v>
      </c>
      <c r="C65" s="686"/>
      <c r="D65" s="686"/>
      <c r="E65" s="686"/>
      <c r="F65" s="686"/>
      <c r="G65" s="686"/>
      <c r="H65" s="686"/>
      <c r="I65" s="170"/>
    </row>
    <row r="66" spans="2:9">
      <c r="B66" s="175" t="s">
        <v>635</v>
      </c>
      <c r="C66" s="175"/>
      <c r="D66" s="175"/>
      <c r="E66" s="175"/>
      <c r="F66" s="175"/>
      <c r="G66" s="175"/>
      <c r="H66" s="175"/>
      <c r="I66" s="170"/>
    </row>
    <row r="67" spans="2:9" ht="17" thickBot="1">
      <c r="B67" s="285"/>
      <c r="C67" s="286"/>
      <c r="D67" s="286"/>
      <c r="E67" s="286"/>
      <c r="F67" s="286"/>
      <c r="G67" s="286"/>
      <c r="H67" s="286"/>
      <c r="I67" s="170"/>
    </row>
    <row r="68" spans="2:9">
      <c r="B68" s="241" t="s">
        <v>636</v>
      </c>
      <c r="C68" s="235"/>
      <c r="I68" s="170"/>
    </row>
    <row r="69" spans="2:9">
      <c r="B69" s="235"/>
      <c r="C69" s="256" t="s">
        <v>247</v>
      </c>
      <c r="D69" s="55">
        <v>16</v>
      </c>
      <c r="E69" s="55">
        <v>10</v>
      </c>
      <c r="F69" s="55">
        <v>7</v>
      </c>
      <c r="G69" s="55">
        <v>24</v>
      </c>
      <c r="H69" s="324">
        <f>SUM(D69:G69)</f>
        <v>57</v>
      </c>
      <c r="I69" s="170"/>
    </row>
    <row r="70" spans="2:9">
      <c r="B70" s="235"/>
      <c r="C70" s="256" t="s">
        <v>248</v>
      </c>
      <c r="D70" s="55">
        <v>39</v>
      </c>
      <c r="E70" s="55">
        <v>19</v>
      </c>
      <c r="F70" s="55">
        <v>44</v>
      </c>
      <c r="G70" s="55">
        <v>32</v>
      </c>
      <c r="H70" s="324">
        <f>SUM(D70:G70)</f>
        <v>134</v>
      </c>
    </row>
    <row r="71" spans="2:9">
      <c r="B71" s="235"/>
      <c r="C71" s="256" t="s">
        <v>249</v>
      </c>
      <c r="D71" s="55">
        <v>0</v>
      </c>
      <c r="E71" s="55">
        <v>20</v>
      </c>
      <c r="F71" s="55">
        <v>0</v>
      </c>
      <c r="G71" s="55">
        <v>36</v>
      </c>
      <c r="H71" s="324">
        <f>SUM(D71:G71)</f>
        <v>56</v>
      </c>
    </row>
    <row r="72" spans="2:9">
      <c r="B72" s="235"/>
      <c r="C72" s="256" t="s">
        <v>250</v>
      </c>
      <c r="D72" s="55">
        <v>83</v>
      </c>
      <c r="E72" s="55">
        <v>73</v>
      </c>
      <c r="F72" s="55">
        <v>0</v>
      </c>
      <c r="G72" s="55">
        <v>0</v>
      </c>
      <c r="H72" s="324">
        <f>SUM(D72:G72)</f>
        <v>156</v>
      </c>
    </row>
    <row r="73" spans="2:9">
      <c r="B73" s="686" t="s">
        <v>633</v>
      </c>
      <c r="C73" s="686"/>
      <c r="D73" s="686"/>
      <c r="E73" s="686"/>
      <c r="F73" s="686"/>
      <c r="G73" s="686"/>
      <c r="H73" s="686"/>
    </row>
    <row r="74" spans="2:9" ht="12" customHeight="1" thickBot="1">
      <c r="B74" s="285"/>
      <c r="C74" s="286"/>
      <c r="D74" s="286"/>
      <c r="E74" s="286"/>
      <c r="F74" s="286"/>
      <c r="G74" s="286"/>
      <c r="H74" s="286"/>
      <c r="I74" s="170"/>
    </row>
  </sheetData>
  <sheetProtection algorithmName="SHA-512" hashValue="+2gpIs8Vns2G4XN/royObS62Y2iL8g2pw1Ly85hj+GjNG7D6AHxtP8ReC9W4OGpOE3Q1/cS8AZEEpv/tZKg14g==" saltValue="kwHn8o4qA96Qw6vMT9j7Zw==" spinCount="100000" sheet="1" objects="1" scenarios="1"/>
  <protectedRanges>
    <protectedRange sqref="I53:M53 I54:L55 D53:H55" name="Rango1_1"/>
  </protectedRanges>
  <mergeCells count="7">
    <mergeCell ref="B4:C4"/>
    <mergeCell ref="B2:C2"/>
    <mergeCell ref="B49:H49"/>
    <mergeCell ref="B50:H50"/>
    <mergeCell ref="B51:H51"/>
    <mergeCell ref="B65:H65"/>
    <mergeCell ref="B73:H73"/>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B54"/>
  <sheetViews>
    <sheetView showGridLines="0" zoomScaleNormal="100" workbookViewId="0">
      <selection activeCell="B2" sqref="B2:C2"/>
    </sheetView>
  </sheetViews>
  <sheetFormatPr baseColWidth="10" defaultColWidth="11.1640625" defaultRowHeight="16"/>
  <cols>
    <col min="1" max="1" width="3.1640625" customWidth="1"/>
    <col min="2" max="2" width="4.5" customWidth="1"/>
    <col min="3" max="3" width="52.83203125" customWidth="1"/>
    <col min="4" max="5" width="13" customWidth="1"/>
    <col min="6" max="7" width="14.6640625" customWidth="1"/>
    <col min="8" max="9" width="13" customWidth="1"/>
    <col min="10" max="10" width="13.33203125" customWidth="1"/>
    <col min="11" max="12" width="13" hidden="1" customWidth="1"/>
    <col min="13" max="13" width="14.6640625" hidden="1" customWidth="1"/>
    <col min="14" max="15" width="13" hidden="1" customWidth="1"/>
    <col min="16" max="16" width="13.33203125" customWidth="1"/>
    <col min="17" max="21" width="12.83203125" hidden="1" customWidth="1"/>
    <col min="22" max="22" width="14.6640625" customWidth="1"/>
    <col min="23" max="26" width="12.83203125" hidden="1" customWidth="1"/>
    <col min="27" max="27" width="12.1640625" hidden="1" customWidth="1"/>
    <col min="28" max="74" width="10.83203125" customWidth="1"/>
  </cols>
  <sheetData>
    <row r="1" spans="2:28" ht="67" customHeight="1"/>
    <row r="2" spans="2:28">
      <c r="B2" s="643" t="s">
        <v>4</v>
      </c>
      <c r="C2" s="644"/>
      <c r="D2" s="282"/>
      <c r="E2" s="282"/>
      <c r="F2" s="282"/>
      <c r="G2" s="282"/>
      <c r="H2" s="282"/>
      <c r="I2" s="282"/>
      <c r="J2" s="282"/>
      <c r="K2" s="282"/>
      <c r="L2" s="282"/>
      <c r="M2" s="282"/>
      <c r="N2" s="282"/>
      <c r="O2" s="282"/>
      <c r="P2" s="282"/>
      <c r="Q2" s="282"/>
      <c r="R2" s="282"/>
      <c r="S2" s="282"/>
      <c r="T2" s="282"/>
      <c r="U2" s="282"/>
      <c r="V2" s="282"/>
      <c r="W2" s="282"/>
      <c r="X2" s="282"/>
      <c r="Y2" s="282"/>
      <c r="Z2" s="282"/>
      <c r="AA2" s="282"/>
      <c r="AB2" s="282"/>
    </row>
    <row r="3" spans="2:28">
      <c r="B3" s="4"/>
      <c r="C3" s="4"/>
      <c r="D3" s="4"/>
      <c r="E3" s="4"/>
      <c r="F3" s="4"/>
      <c r="G3" s="4"/>
      <c r="H3" s="4"/>
      <c r="I3" s="4"/>
      <c r="J3" s="4"/>
      <c r="K3" s="4"/>
      <c r="L3" s="4"/>
      <c r="M3" s="4"/>
      <c r="N3" s="4"/>
      <c r="O3" s="4"/>
      <c r="P3" s="4"/>
      <c r="Q3" s="4"/>
      <c r="R3" s="4"/>
      <c r="S3" s="4"/>
      <c r="T3" s="4"/>
      <c r="U3" s="4"/>
      <c r="V3" s="4"/>
      <c r="W3" s="4"/>
      <c r="X3" s="4"/>
      <c r="Y3" s="4"/>
      <c r="Z3" s="4"/>
      <c r="AA3" s="4"/>
      <c r="AB3" s="84"/>
    </row>
    <row r="4" spans="2:28" s="234" customFormat="1" ht="45">
      <c r="B4" s="645" t="s">
        <v>5</v>
      </c>
      <c r="C4" s="688"/>
      <c r="D4" s="287" t="s">
        <v>19</v>
      </c>
      <c r="E4" s="287" t="s">
        <v>20</v>
      </c>
      <c r="F4" s="287" t="s">
        <v>21</v>
      </c>
      <c r="G4" s="287" t="s">
        <v>61</v>
      </c>
      <c r="H4" s="287" t="s">
        <v>62</v>
      </c>
      <c r="I4" s="284" t="s">
        <v>64</v>
      </c>
      <c r="J4" s="289" t="s">
        <v>6</v>
      </c>
      <c r="K4" s="287" t="s">
        <v>19</v>
      </c>
      <c r="L4" s="287" t="s">
        <v>20</v>
      </c>
      <c r="M4" s="287" t="s">
        <v>21</v>
      </c>
      <c r="N4" s="287" t="s">
        <v>62</v>
      </c>
      <c r="O4" s="284" t="s">
        <v>64</v>
      </c>
      <c r="P4" s="289" t="s">
        <v>7</v>
      </c>
      <c r="Q4" s="287" t="s">
        <v>19</v>
      </c>
      <c r="R4" s="287" t="s">
        <v>20</v>
      </c>
      <c r="S4" s="287" t="s">
        <v>21</v>
      </c>
      <c r="T4" s="284" t="s">
        <v>23</v>
      </c>
      <c r="U4" s="284" t="s">
        <v>251</v>
      </c>
      <c r="V4" s="289" t="s">
        <v>8</v>
      </c>
      <c r="W4" s="287" t="s">
        <v>19</v>
      </c>
      <c r="X4" s="287" t="s">
        <v>20</v>
      </c>
      <c r="Y4" s="287" t="s">
        <v>21</v>
      </c>
      <c r="Z4" s="284" t="s">
        <v>23</v>
      </c>
      <c r="AA4" s="284" t="s">
        <v>251</v>
      </c>
      <c r="AB4" s="289" t="s">
        <v>68</v>
      </c>
    </row>
    <row r="5" spans="2:28" hidden="1">
      <c r="B5" s="7" t="s">
        <v>607</v>
      </c>
      <c r="C5" s="8"/>
      <c r="D5" s="8"/>
      <c r="E5" s="8"/>
      <c r="F5" s="8"/>
      <c r="G5" s="8"/>
      <c r="H5" s="8"/>
      <c r="I5" s="8"/>
      <c r="J5" s="8"/>
      <c r="K5" s="8"/>
      <c r="L5" s="8"/>
      <c r="M5" s="8" t="s">
        <v>252</v>
      </c>
      <c r="N5" s="8">
        <f>Business!M99</f>
        <v>0</v>
      </c>
      <c r="O5" s="8"/>
      <c r="P5" s="8"/>
      <c r="Q5" s="4"/>
      <c r="R5" s="4"/>
      <c r="S5" s="4"/>
      <c r="T5" s="4"/>
      <c r="U5" s="4"/>
      <c r="V5" s="4"/>
      <c r="W5" s="4"/>
      <c r="X5" s="4"/>
      <c r="Y5" s="4"/>
      <c r="Z5" s="4"/>
      <c r="AA5" s="4"/>
      <c r="AB5" s="4"/>
    </row>
    <row r="6" spans="2:28" hidden="1">
      <c r="B6" s="9"/>
      <c r="C6" s="10" t="s">
        <v>253</v>
      </c>
      <c r="D6" s="66">
        <f>284049+658080</f>
        <v>942129</v>
      </c>
      <c r="E6" s="66">
        <v>415574.71</v>
      </c>
      <c r="F6" s="66">
        <v>1091635.1299999999</v>
      </c>
      <c r="G6" s="389">
        <v>559352</v>
      </c>
      <c r="H6" s="85">
        <v>0</v>
      </c>
      <c r="I6" s="85">
        <v>0</v>
      </c>
      <c r="J6" s="65">
        <f>SUM(D6:I6)</f>
        <v>3008690.84</v>
      </c>
      <c r="K6" s="66">
        <v>768379.48</v>
      </c>
      <c r="L6" s="66">
        <v>717325.51</v>
      </c>
      <c r="M6" s="66">
        <f>442146.1</f>
        <v>442146.1</v>
      </c>
      <c r="N6" s="85">
        <v>0</v>
      </c>
      <c r="O6" s="85"/>
      <c r="P6" s="65">
        <f>SUM(K6:O6)</f>
        <v>1927851.0899999999</v>
      </c>
      <c r="Q6" s="66">
        <v>435385</v>
      </c>
      <c r="R6" s="66">
        <v>803260.48</v>
      </c>
      <c r="S6" s="66">
        <v>81481.58</v>
      </c>
      <c r="T6" s="66"/>
      <c r="U6" s="66"/>
      <c r="V6" s="65">
        <f>SUM(Q6:U6)</f>
        <v>1320127.06</v>
      </c>
      <c r="W6" s="66">
        <v>20509.000110000001</v>
      </c>
      <c r="X6" s="66">
        <v>51895.542580000001</v>
      </c>
      <c r="Y6" s="66">
        <v>8660.9270699999997</v>
      </c>
      <c r="Z6" s="66">
        <v>0</v>
      </c>
      <c r="AA6" s="66">
        <v>0</v>
      </c>
      <c r="AB6" s="65">
        <f>SUM(W6:AA6)</f>
        <v>81065.469760000007</v>
      </c>
    </row>
    <row r="7" spans="2:28" hidden="1">
      <c r="B7" s="9"/>
      <c r="C7" s="10" t="s">
        <v>254</v>
      </c>
      <c r="D7" s="66">
        <v>309756</v>
      </c>
      <c r="E7" s="66">
        <v>663659.16</v>
      </c>
      <c r="F7" s="66">
        <v>358985.91</v>
      </c>
      <c r="G7" s="389">
        <v>54056</v>
      </c>
      <c r="H7" s="85">
        <v>0</v>
      </c>
      <c r="I7" s="85">
        <v>0</v>
      </c>
      <c r="J7" s="65">
        <f>SUM(D7:I7)</f>
        <v>1386457.07</v>
      </c>
      <c r="K7" s="66">
        <v>84812.29</v>
      </c>
      <c r="L7" s="66">
        <v>68500</v>
      </c>
      <c r="M7" s="66">
        <f>422190</f>
        <v>422190</v>
      </c>
      <c r="N7" s="85">
        <v>0</v>
      </c>
      <c r="O7" s="85"/>
      <c r="P7" s="65">
        <f>SUM(K7:O7)</f>
        <v>575502.29</v>
      </c>
      <c r="Q7" s="66">
        <v>115844.74</v>
      </c>
      <c r="R7" s="66">
        <v>410923.7</v>
      </c>
      <c r="S7" s="66"/>
      <c r="T7" s="66">
        <v>118200</v>
      </c>
      <c r="U7" s="66"/>
      <c r="V7" s="65">
        <f>SUM(Q7:U7)</f>
        <v>644968.44000000006</v>
      </c>
      <c r="W7" s="66">
        <v>22378.5</v>
      </c>
      <c r="X7" s="66">
        <v>20061.47984</v>
      </c>
      <c r="Y7" s="66">
        <v>0</v>
      </c>
      <c r="Z7" s="66">
        <v>0</v>
      </c>
      <c r="AA7" s="66">
        <v>0</v>
      </c>
      <c r="AB7" s="65">
        <f>SUM(W7:AA7)</f>
        <v>42439.97984</v>
      </c>
    </row>
    <row r="8" spans="2:28" hidden="1">
      <c r="B8" s="9"/>
      <c r="C8" s="10" t="s">
        <v>255</v>
      </c>
      <c r="D8" s="66">
        <f>1841700+612028</f>
        <v>2453728</v>
      </c>
      <c r="E8" s="66">
        <v>554547.04</v>
      </c>
      <c r="F8" s="66">
        <v>4216315.1400000006</v>
      </c>
      <c r="G8" s="389">
        <v>1296026</v>
      </c>
      <c r="H8" s="393">
        <v>172850</v>
      </c>
      <c r="I8" s="85">
        <v>25396</v>
      </c>
      <c r="J8" s="65">
        <f>SUM(D8:I8)</f>
        <v>8718862.1799999997</v>
      </c>
      <c r="K8" s="66">
        <v>5443049.0800000001</v>
      </c>
      <c r="L8" s="66">
        <v>711374.34</v>
      </c>
      <c r="M8" s="86">
        <f>9452787.73</f>
        <v>9452787.7300000004</v>
      </c>
      <c r="N8" s="66">
        <f>629700</f>
        <v>629700</v>
      </c>
      <c r="O8" s="66"/>
      <c r="P8" s="65">
        <f>SUM(K8:O8)</f>
        <v>16236911.15</v>
      </c>
      <c r="Q8" s="66">
        <v>7758588.1799999997</v>
      </c>
      <c r="R8" s="66">
        <v>577792.79</v>
      </c>
      <c r="S8" s="66">
        <v>2545719.59</v>
      </c>
      <c r="T8" s="66">
        <v>416900</v>
      </c>
      <c r="U8" s="66"/>
      <c r="V8" s="65">
        <f>SUM(Q8:U8)</f>
        <v>11299000.559999999</v>
      </c>
      <c r="W8" s="66">
        <v>177909.42311</v>
      </c>
      <c r="X8" s="66">
        <v>21030.717540000001</v>
      </c>
      <c r="Y8" s="66">
        <v>8732.3393500000002</v>
      </c>
      <c r="Z8" s="66">
        <v>19892</v>
      </c>
      <c r="AA8" s="66"/>
      <c r="AB8" s="65">
        <f>SUM(W8:AA8)</f>
        <v>227564.48</v>
      </c>
    </row>
    <row r="9" spans="2:28" hidden="1">
      <c r="B9" s="9"/>
      <c r="C9" s="10" t="s">
        <v>42</v>
      </c>
      <c r="D9" s="66">
        <f>89000+271514.32</f>
        <v>360514.32</v>
      </c>
      <c r="E9" s="66">
        <v>227826.81</v>
      </c>
      <c r="F9" s="66">
        <v>749812.75</v>
      </c>
      <c r="G9" s="389">
        <v>206377</v>
      </c>
      <c r="H9" s="66">
        <v>237800</v>
      </c>
      <c r="I9" s="85">
        <v>0</v>
      </c>
      <c r="J9" s="65">
        <f>SUM(D9:I9)</f>
        <v>1782330.88</v>
      </c>
      <c r="K9" s="66">
        <v>335771.7</v>
      </c>
      <c r="L9" s="66">
        <v>301696.28999999998</v>
      </c>
      <c r="M9" s="66">
        <f>217843.35</f>
        <v>217843.35</v>
      </c>
      <c r="N9" s="66">
        <f>167500</f>
        <v>167500</v>
      </c>
      <c r="O9" s="85"/>
      <c r="P9" s="65">
        <f>SUM(K9:O9)</f>
        <v>1022811.34</v>
      </c>
      <c r="Q9" s="66">
        <v>242497</v>
      </c>
      <c r="R9" s="66">
        <v>388439.68</v>
      </c>
      <c r="S9" s="66">
        <v>312886.68</v>
      </c>
      <c r="T9" s="66">
        <v>241500</v>
      </c>
      <c r="U9" s="66"/>
      <c r="V9" s="65">
        <f>SUM(Q9:U9)</f>
        <v>1185323.3599999999</v>
      </c>
      <c r="W9" s="66">
        <v>64.649000000000001</v>
      </c>
      <c r="X9" s="66">
        <v>6797.1958600000007</v>
      </c>
      <c r="Y9" s="66">
        <v>2320.4515300000003</v>
      </c>
      <c r="Z9" s="66">
        <v>3430.3754000000004</v>
      </c>
      <c r="AA9" s="66"/>
      <c r="AB9" s="65">
        <f>SUM(W9:AA9)</f>
        <v>12612.671790000002</v>
      </c>
    </row>
    <row r="10" spans="2:28" hidden="1">
      <c r="B10" s="71"/>
      <c r="C10" s="14" t="s">
        <v>256</v>
      </c>
      <c r="D10" s="87">
        <f t="shared" ref="D10:I10" si="0">SUM(D6:D9)</f>
        <v>4066127.32</v>
      </c>
      <c r="E10" s="87">
        <f t="shared" si="0"/>
        <v>1861607.7200000002</v>
      </c>
      <c r="F10" s="87">
        <f t="shared" si="0"/>
        <v>6416748.9300000006</v>
      </c>
      <c r="G10" s="87">
        <f t="shared" si="0"/>
        <v>2115811</v>
      </c>
      <c r="H10" s="88">
        <f t="shared" si="0"/>
        <v>410650</v>
      </c>
      <c r="I10" s="88">
        <f t="shared" si="0"/>
        <v>25396</v>
      </c>
      <c r="J10" s="89">
        <f>SUM(D10:I10)</f>
        <v>14896340.970000001</v>
      </c>
      <c r="K10" s="87">
        <f>SUM(K6:K9)</f>
        <v>6632012.5499999998</v>
      </c>
      <c r="L10" s="87">
        <f>SUM(L6:L9)</f>
        <v>1798896.1400000001</v>
      </c>
      <c r="M10" s="87">
        <f>SUM(M6:M9)</f>
        <v>10534967.18</v>
      </c>
      <c r="N10" s="88">
        <f>SUM(N6:N9)</f>
        <v>797200</v>
      </c>
      <c r="O10" s="88"/>
      <c r="P10" s="89">
        <f>SUM(K10:O10)</f>
        <v>19763075.869999997</v>
      </c>
      <c r="Q10" s="88">
        <f>SUM(Q6:Q9)</f>
        <v>8552314.9199999999</v>
      </c>
      <c r="R10" s="88">
        <f>SUM(R6:R9)</f>
        <v>2180416.65</v>
      </c>
      <c r="S10" s="88">
        <f>SUM(S6:S9)</f>
        <v>2940087.85</v>
      </c>
      <c r="T10" s="88">
        <f>SUM(T6:T9)</f>
        <v>776600</v>
      </c>
      <c r="U10" s="88">
        <f>SUM(U6:U9)</f>
        <v>0</v>
      </c>
      <c r="V10" s="89">
        <f>SUM(Q10:U10)</f>
        <v>14449419.42</v>
      </c>
      <c r="W10" s="88">
        <f t="shared" ref="W10:AB10" si="1">SUM(W6:W9)</f>
        <v>220861.57222</v>
      </c>
      <c r="X10" s="88">
        <f t="shared" si="1"/>
        <v>99784.935819999999</v>
      </c>
      <c r="Y10" s="88">
        <f t="shared" si="1"/>
        <v>19713.717949999998</v>
      </c>
      <c r="Z10" s="88">
        <f t="shared" si="1"/>
        <v>23322.375400000001</v>
      </c>
      <c r="AA10" s="88">
        <f t="shared" si="1"/>
        <v>0</v>
      </c>
      <c r="AB10" s="89">
        <f t="shared" si="1"/>
        <v>363682.60139000003</v>
      </c>
    </row>
    <row r="11" spans="2:28" ht="17" hidden="1" thickBot="1">
      <c r="B11" s="285"/>
      <c r="C11" s="286"/>
      <c r="D11" s="293"/>
      <c r="E11" s="286"/>
      <c r="F11" s="286"/>
      <c r="G11" s="286"/>
      <c r="H11" s="286"/>
      <c r="I11" s="294"/>
      <c r="J11" s="295"/>
      <c r="K11" s="293"/>
      <c r="L11" s="286"/>
      <c r="M11" s="286"/>
      <c r="N11" s="286"/>
      <c r="O11" s="294"/>
      <c r="P11" s="295"/>
      <c r="Q11" s="296"/>
      <c r="R11" s="286"/>
      <c r="S11" s="286"/>
      <c r="T11" s="286"/>
      <c r="U11" s="286"/>
      <c r="V11" s="295"/>
      <c r="W11" s="295"/>
      <c r="X11" s="286"/>
      <c r="Y11" s="286"/>
      <c r="Z11" s="286"/>
      <c r="AA11" s="286"/>
      <c r="AB11" s="295"/>
    </row>
    <row r="12" spans="2:28" hidden="1">
      <c r="B12" s="7" t="s">
        <v>257</v>
      </c>
      <c r="C12" s="8"/>
      <c r="D12" s="8"/>
      <c r="E12" s="8"/>
      <c r="F12" s="8"/>
      <c r="G12" s="8"/>
      <c r="H12" s="8"/>
      <c r="I12" s="8"/>
      <c r="J12" s="4"/>
      <c r="K12" s="8"/>
      <c r="L12" s="8"/>
      <c r="M12" s="8"/>
      <c r="N12" s="8"/>
      <c r="O12" s="8"/>
      <c r="P12" s="4"/>
      <c r="Q12" s="4"/>
      <c r="R12" s="4"/>
      <c r="S12" s="4"/>
      <c r="T12" s="4"/>
      <c r="U12" s="4"/>
      <c r="V12" s="4"/>
      <c r="W12" s="4"/>
      <c r="X12" s="4"/>
      <c r="Y12" s="4"/>
      <c r="Z12" s="4"/>
      <c r="AA12" s="4"/>
      <c r="AB12" s="4"/>
    </row>
    <row r="13" spans="2:28" hidden="1">
      <c r="B13" s="9"/>
      <c r="C13" s="10" t="s">
        <v>258</v>
      </c>
      <c r="D13" s="390">
        <f>15000+173000</f>
        <v>188000</v>
      </c>
      <c r="E13" s="391">
        <v>283000</v>
      </c>
      <c r="F13" s="66">
        <v>799308.13</v>
      </c>
      <c r="G13" s="389">
        <v>1692648</v>
      </c>
      <c r="H13" s="85">
        <v>0</v>
      </c>
      <c r="I13" s="66">
        <f>10417+8015+2552+4412</f>
        <v>25396</v>
      </c>
      <c r="J13" s="65">
        <f>SUM(D13:I13)</f>
        <v>2988352.13</v>
      </c>
      <c r="K13" s="66">
        <v>159000</v>
      </c>
      <c r="L13" s="66">
        <v>491100</v>
      </c>
      <c r="M13" s="66">
        <v>347300</v>
      </c>
      <c r="N13" s="85">
        <v>10000</v>
      </c>
      <c r="O13" s="85">
        <f>+O22</f>
        <v>16120</v>
      </c>
      <c r="P13" s="65">
        <f>SUM(K13:O13)</f>
        <v>1023520</v>
      </c>
      <c r="Q13" s="66">
        <v>80000</v>
      </c>
      <c r="R13" s="66">
        <v>418800</v>
      </c>
      <c r="S13" s="66">
        <v>126520</v>
      </c>
      <c r="T13" s="66"/>
      <c r="U13" s="66"/>
      <c r="V13" s="65">
        <f>SUM(Q13:U13)</f>
        <v>625320</v>
      </c>
      <c r="W13" s="66">
        <v>8220</v>
      </c>
      <c r="X13" s="66">
        <v>28117.342000000001</v>
      </c>
      <c r="Y13" s="66">
        <v>0</v>
      </c>
      <c r="Z13" s="66">
        <v>0</v>
      </c>
      <c r="AA13" s="66"/>
      <c r="AB13" s="65">
        <f>SUM(W13:AA13)</f>
        <v>36337.342000000004</v>
      </c>
    </row>
    <row r="14" spans="2:28" hidden="1">
      <c r="B14" s="9"/>
      <c r="C14" s="10" t="s">
        <v>259</v>
      </c>
      <c r="D14" s="391">
        <f>3835627+42500</f>
        <v>3878127</v>
      </c>
      <c r="E14" s="66">
        <v>1578607.52</v>
      </c>
      <c r="F14" s="66">
        <v>5617440.8000000007</v>
      </c>
      <c r="G14" s="389">
        <v>423163</v>
      </c>
      <c r="H14" s="85">
        <f>+H10</f>
        <v>410650</v>
      </c>
      <c r="I14" s="85">
        <v>0</v>
      </c>
      <c r="J14" s="65">
        <f>SUM(D14:I14)</f>
        <v>11907988.32</v>
      </c>
      <c r="K14" s="66">
        <v>6473012.5499999998</v>
      </c>
      <c r="L14" s="66">
        <f>L10-L13</f>
        <v>1307796.1400000001</v>
      </c>
      <c r="M14" s="66">
        <f>M10-M13</f>
        <v>10187667.18</v>
      </c>
      <c r="N14" s="85">
        <v>787200</v>
      </c>
      <c r="O14" s="85">
        <v>0</v>
      </c>
      <c r="P14" s="65">
        <f>SUM(K14:O14)</f>
        <v>18755675.869999997</v>
      </c>
      <c r="Q14" s="66">
        <v>8472315</v>
      </c>
      <c r="R14" s="66">
        <v>1761617</v>
      </c>
      <c r="S14" s="66">
        <v>2813568</v>
      </c>
      <c r="T14" s="66">
        <v>776600</v>
      </c>
      <c r="U14" s="66"/>
      <c r="V14" s="65">
        <f>SUM(Q14:U14)</f>
        <v>13824100</v>
      </c>
      <c r="W14" s="66">
        <v>212642</v>
      </c>
      <c r="X14" s="66">
        <v>71668</v>
      </c>
      <c r="Y14" s="66">
        <v>19713.717950000002</v>
      </c>
      <c r="Z14" s="66">
        <v>23322.375400000001</v>
      </c>
      <c r="AA14" s="66"/>
      <c r="AB14" s="65">
        <f>SUM(W14:AA14)</f>
        <v>327346.09335000004</v>
      </c>
    </row>
    <row r="15" spans="2:28" hidden="1">
      <c r="B15" s="71"/>
      <c r="C15" s="14" t="s">
        <v>260</v>
      </c>
      <c r="D15" s="88">
        <f>SUM(D13:D14)</f>
        <v>4066127</v>
      </c>
      <c r="E15" s="88">
        <f t="shared" ref="E15:J15" si="2">SUM(E13:E14)</f>
        <v>1861607.52</v>
      </c>
      <c r="F15" s="88">
        <f>SUM(F13:F14)</f>
        <v>6416748.9300000006</v>
      </c>
      <c r="G15" s="88">
        <f>SUM(G13:G14)</f>
        <v>2115811</v>
      </c>
      <c r="H15" s="88">
        <f t="shared" si="2"/>
        <v>410650</v>
      </c>
      <c r="I15" s="88">
        <f t="shared" si="2"/>
        <v>25396</v>
      </c>
      <c r="J15" s="89">
        <f t="shared" si="2"/>
        <v>14896340.449999999</v>
      </c>
      <c r="K15" s="88">
        <f t="shared" ref="K15:AB15" si="3">SUM(K13:K14)</f>
        <v>6632012.5499999998</v>
      </c>
      <c r="L15" s="88">
        <f t="shared" si="3"/>
        <v>1798896.1400000001</v>
      </c>
      <c r="M15" s="88">
        <f t="shared" si="3"/>
        <v>10534967.18</v>
      </c>
      <c r="N15" s="88">
        <f t="shared" si="3"/>
        <v>797200</v>
      </c>
      <c r="O15" s="88">
        <f t="shared" si="3"/>
        <v>16120</v>
      </c>
      <c r="P15" s="89">
        <f t="shared" si="3"/>
        <v>19779195.869999997</v>
      </c>
      <c r="Q15" s="88">
        <f t="shared" si="3"/>
        <v>8552315</v>
      </c>
      <c r="R15" s="88">
        <f t="shared" si="3"/>
        <v>2180417</v>
      </c>
      <c r="S15" s="88">
        <f t="shared" si="3"/>
        <v>2940088</v>
      </c>
      <c r="T15" s="88">
        <f t="shared" si="3"/>
        <v>776600</v>
      </c>
      <c r="U15" s="88">
        <f t="shared" si="3"/>
        <v>0</v>
      </c>
      <c r="V15" s="89">
        <f t="shared" si="3"/>
        <v>14449420</v>
      </c>
      <c r="W15" s="88">
        <f t="shared" si="3"/>
        <v>220862</v>
      </c>
      <c r="X15" s="88">
        <f t="shared" si="3"/>
        <v>99785.342000000004</v>
      </c>
      <c r="Y15" s="88">
        <f t="shared" si="3"/>
        <v>19713.717950000002</v>
      </c>
      <c r="Z15" s="88">
        <f t="shared" si="3"/>
        <v>23322.375400000001</v>
      </c>
      <c r="AA15" s="88">
        <f t="shared" si="3"/>
        <v>0</v>
      </c>
      <c r="AB15" s="89">
        <f t="shared" si="3"/>
        <v>363683.43535000004</v>
      </c>
    </row>
    <row r="16" spans="2:28" hidden="1">
      <c r="J16" s="340"/>
    </row>
    <row r="17" spans="2:28">
      <c r="B17" s="7" t="s">
        <v>261</v>
      </c>
      <c r="C17" s="8"/>
      <c r="D17" s="8"/>
      <c r="E17" s="8"/>
      <c r="F17" s="8"/>
      <c r="G17" s="8"/>
      <c r="H17" s="8"/>
      <c r="I17" s="8"/>
      <c r="J17" s="8"/>
      <c r="K17" s="8"/>
      <c r="L17" s="8"/>
      <c r="M17" s="8"/>
      <c r="N17" s="8"/>
      <c r="O17" s="8"/>
      <c r="P17" s="8"/>
      <c r="Q17" s="4"/>
      <c r="R17" s="4"/>
      <c r="S17" s="4"/>
      <c r="T17" s="4"/>
      <c r="U17" s="4"/>
      <c r="V17" s="4"/>
      <c r="W17" s="4"/>
      <c r="X17" s="4"/>
      <c r="Y17" s="4"/>
      <c r="Z17" s="4"/>
      <c r="AA17" s="4"/>
      <c r="AB17" s="4"/>
    </row>
    <row r="18" spans="2:28">
      <c r="B18" s="9"/>
      <c r="C18" s="10" t="s">
        <v>253</v>
      </c>
      <c r="D18" s="392">
        <f>D6/Business!$D$99</f>
        <v>49146.009389671359</v>
      </c>
      <c r="E18" s="392">
        <f>E6/Business!$D$99</f>
        <v>21678.388628064684</v>
      </c>
      <c r="F18" s="392">
        <f>F6/Business!$D$99</f>
        <v>56944.972874282721</v>
      </c>
      <c r="G18" s="66">
        <f>G6/Business!$D$100</f>
        <v>158906.81818181818</v>
      </c>
      <c r="H18" s="392">
        <f>H6/Business!$D$99</f>
        <v>0</v>
      </c>
      <c r="I18" s="85">
        <v>0</v>
      </c>
      <c r="J18" s="65">
        <f>SUM(D18:I18)</f>
        <v>286676.1890738369</v>
      </c>
      <c r="K18" s="90">
        <v>42481.712582862012</v>
      </c>
      <c r="L18" s="90">
        <v>39659.070729185674</v>
      </c>
      <c r="M18" s="90">
        <v>24445.113422124916</v>
      </c>
      <c r="N18" s="90">
        <v>0</v>
      </c>
      <c r="O18" s="177">
        <v>3652</v>
      </c>
      <c r="P18" s="178">
        <f>SUM(K18:O18)</f>
        <v>110237.89673417259</v>
      </c>
      <c r="Q18" s="66">
        <v>24576.090017999999</v>
      </c>
      <c r="R18" s="66">
        <v>45341.483662464001</v>
      </c>
      <c r="S18" s="66">
        <v>4599.3744499439999</v>
      </c>
      <c r="T18" s="66">
        <v>0</v>
      </c>
      <c r="U18" s="66">
        <v>3705.17</v>
      </c>
      <c r="V18" s="65">
        <f>SUM(Q18:U18)</f>
        <v>78222.118130408009</v>
      </c>
      <c r="W18" s="66">
        <v>20509.000110000001</v>
      </c>
      <c r="X18" s="66">
        <v>51895.542580000001</v>
      </c>
      <c r="Y18" s="66">
        <v>8660.9270699999997</v>
      </c>
      <c r="Z18" s="66">
        <v>0</v>
      </c>
      <c r="AA18" s="66">
        <v>0</v>
      </c>
      <c r="AB18" s="65">
        <f>SUM(W18:AA18)</f>
        <v>81065.469760000007</v>
      </c>
    </row>
    <row r="19" spans="2:28">
      <c r="B19" s="9"/>
      <c r="C19" s="10" t="s">
        <v>254</v>
      </c>
      <c r="D19" s="392">
        <f>D7/Business!$D$99</f>
        <v>16158.372456964005</v>
      </c>
      <c r="E19" s="392">
        <f>E7/Business!$D$99</f>
        <v>34619.674491392798</v>
      </c>
      <c r="F19" s="392">
        <f>F7/Business!$D$99</f>
        <v>18726.442879499213</v>
      </c>
      <c r="G19" s="66">
        <f>G7/Business!$D$100</f>
        <v>15356.818181818182</v>
      </c>
      <c r="H19" s="392">
        <f>H7/Business!$D$99</f>
        <v>0</v>
      </c>
      <c r="I19" s="85">
        <v>0</v>
      </c>
      <c r="J19" s="65">
        <f>SUM(D19:I19)</f>
        <v>84861.308009674191</v>
      </c>
      <c r="K19" s="90">
        <v>4689.0519867531357</v>
      </c>
      <c r="L19" s="90">
        <v>3787.1876952336725</v>
      </c>
      <c r="M19" s="90">
        <v>23341.792307309552</v>
      </c>
      <c r="N19" s="90">
        <v>0</v>
      </c>
      <c r="O19" s="177">
        <v>0</v>
      </c>
      <c r="P19" s="178">
        <f>SUM(K19:O19)</f>
        <v>31818.03198929636</v>
      </c>
      <c r="Q19" s="66">
        <v>6539.0648698320001</v>
      </c>
      <c r="R19" s="66">
        <v>23195.327909160002</v>
      </c>
      <c r="S19" s="66">
        <v>0</v>
      </c>
      <c r="T19" s="66">
        <v>6672.0117599999994</v>
      </c>
      <c r="U19" s="66"/>
      <c r="V19" s="65">
        <f>SUM(Q19:U19)</f>
        <v>36406.404538991999</v>
      </c>
      <c r="W19" s="66">
        <v>22378.5</v>
      </c>
      <c r="X19" s="66">
        <v>20061.47984</v>
      </c>
      <c r="Y19" s="66">
        <v>0</v>
      </c>
      <c r="Z19" s="66">
        <v>0</v>
      </c>
      <c r="AA19" s="66">
        <v>0</v>
      </c>
      <c r="AB19" s="65">
        <f>SUM(W19:AA19)</f>
        <v>42439.97984</v>
      </c>
    </row>
    <row r="20" spans="2:28">
      <c r="B20" s="9"/>
      <c r="C20" s="10" t="s">
        <v>255</v>
      </c>
      <c r="D20" s="392">
        <f>D8/Business!$D$99</f>
        <v>127998.33072509128</v>
      </c>
      <c r="E20" s="392">
        <f>E8/Business!$D$99</f>
        <v>28927.858111632759</v>
      </c>
      <c r="F20" s="392">
        <f>F8/Business!$D$99</f>
        <v>219943.40845070424</v>
      </c>
      <c r="G20" s="66">
        <f>G8/Business!$D$100</f>
        <v>368189.20454545453</v>
      </c>
      <c r="H20" s="392">
        <f>H8/Business!$D$99</f>
        <v>9016.6927490871149</v>
      </c>
      <c r="I20" s="66">
        <f>10417+8015+2552+4412</f>
        <v>25396</v>
      </c>
      <c r="J20" s="65">
        <f>SUM(D20:I20)</f>
        <v>779471.49458196992</v>
      </c>
      <c r="K20" s="90">
        <v>300932.09489531332</v>
      </c>
      <c r="L20" s="90">
        <v>39330.045943839046</v>
      </c>
      <c r="M20" s="90">
        <v>522620.16608338454</v>
      </c>
      <c r="N20" s="90">
        <v>34814.483090345158</v>
      </c>
      <c r="O20" s="179">
        <v>12030</v>
      </c>
      <c r="P20" s="178">
        <f>SUM(K20:O20)</f>
        <v>909726.79001288209</v>
      </c>
      <c r="Q20" s="66">
        <v>437947.47527882399</v>
      </c>
      <c r="R20" s="66">
        <v>32614.554058572001</v>
      </c>
      <c r="S20" s="66">
        <v>143697.724552812</v>
      </c>
      <c r="T20" s="66">
        <v>23532.67092</v>
      </c>
      <c r="U20" s="66">
        <v>29733.989249999999</v>
      </c>
      <c r="V20" s="65">
        <f>SUM(Q20:U20)</f>
        <v>667526.4140602079</v>
      </c>
      <c r="W20" s="66">
        <v>177909.42311</v>
      </c>
      <c r="X20" s="66">
        <v>21030.717540000001</v>
      </c>
      <c r="Y20" s="66">
        <v>8732.3393500000002</v>
      </c>
      <c r="Z20" s="66">
        <v>19892</v>
      </c>
      <c r="AA20" s="66">
        <v>68716.774728820325</v>
      </c>
      <c r="AB20" s="65">
        <f>SUM(W20:AA20)</f>
        <v>296281.25472882035</v>
      </c>
    </row>
    <row r="21" spans="2:28">
      <c r="B21" s="9"/>
      <c r="C21" s="10" t="s">
        <v>42</v>
      </c>
      <c r="D21" s="392">
        <f>D9/Business!$D$99</f>
        <v>18806.17214397496</v>
      </c>
      <c r="E21" s="392">
        <f>E9/Business!$D$99</f>
        <v>11884.549295774646</v>
      </c>
      <c r="F21" s="392">
        <f>F9/Business!$D$99</f>
        <v>39113.862806468438</v>
      </c>
      <c r="G21" s="66">
        <f>G9/Business!$D$100</f>
        <v>58629.829545454544</v>
      </c>
      <c r="H21" s="392">
        <f>H9/Business!$D$99</f>
        <v>12404.799165362545</v>
      </c>
      <c r="I21" s="85">
        <v>0</v>
      </c>
      <c r="J21" s="65">
        <f>SUM(D21:I21)</f>
        <v>140839.21295703514</v>
      </c>
      <c r="K21" s="90">
        <v>18563.94818463784</v>
      </c>
      <c r="L21" s="90">
        <v>16680.006966213863</v>
      </c>
      <c r="M21" s="90">
        <v>12043.994957788062</v>
      </c>
      <c r="N21" s="90">
        <v>9260.6414445494902</v>
      </c>
      <c r="O21" s="177">
        <v>438</v>
      </c>
      <c r="P21" s="178">
        <f>SUM(K21:O21)</f>
        <v>56986.591553189253</v>
      </c>
      <c r="Q21" s="66">
        <v>13688.1796596</v>
      </c>
      <c r="R21" s="66">
        <v>21926.176929023997</v>
      </c>
      <c r="S21" s="66">
        <v>17661.451848623998</v>
      </c>
      <c r="T21" s="66">
        <v>13631.9022</v>
      </c>
      <c r="U21" s="66">
        <v>5557.7550000000001</v>
      </c>
      <c r="V21" s="65">
        <f>SUM(Q21:U21)</f>
        <v>72465.465637247995</v>
      </c>
      <c r="W21" s="66">
        <v>64.649000000000001</v>
      </c>
      <c r="X21" s="66">
        <v>6797.1958600000007</v>
      </c>
      <c r="Y21" s="66">
        <v>2320.4515300000003</v>
      </c>
      <c r="Z21" s="66">
        <v>3430.3754000000004</v>
      </c>
      <c r="AA21" s="66">
        <v>768.21436253572199</v>
      </c>
      <c r="AB21" s="65">
        <f>SUM(W21:AA21)</f>
        <v>13380.886152535724</v>
      </c>
    </row>
    <row r="22" spans="2:28">
      <c r="B22" s="71"/>
      <c r="C22" s="14" t="s">
        <v>262</v>
      </c>
      <c r="D22" s="88">
        <f t="shared" ref="D22:I22" si="4">SUM(D18:D21)</f>
        <v>212108.8847157016</v>
      </c>
      <c r="E22" s="88">
        <f t="shared" si="4"/>
        <v>97110.470526864883</v>
      </c>
      <c r="F22" s="180">
        <f>SUM(F18:F21)</f>
        <v>334728.68701095466</v>
      </c>
      <c r="G22" s="180">
        <f t="shared" si="4"/>
        <v>601082.67045454541</v>
      </c>
      <c r="H22" s="180">
        <f t="shared" si="4"/>
        <v>21421.49191444966</v>
      </c>
      <c r="I22" s="180">
        <f t="shared" si="4"/>
        <v>25396</v>
      </c>
      <c r="J22" s="181">
        <f>SUM(D22:I22)</f>
        <v>1291848.2046225164</v>
      </c>
      <c r="K22" s="88">
        <f>SUM(K18:K21)</f>
        <v>366666.80764956627</v>
      </c>
      <c r="L22" s="88">
        <f>SUM(L18:L21)</f>
        <v>99456.311334472266</v>
      </c>
      <c r="M22" s="180">
        <f>SUM(M18:M21)</f>
        <v>582451.06677060702</v>
      </c>
      <c r="N22" s="180">
        <f>SUM(N18:N21)</f>
        <v>44075.124534894647</v>
      </c>
      <c r="O22" s="180">
        <f>SUM(O18:O21)</f>
        <v>16120</v>
      </c>
      <c r="P22" s="181">
        <f>SUM(K22:O22)</f>
        <v>1108769.3102895403</v>
      </c>
      <c r="Q22" s="88">
        <f>SUM(Q18:Q21)</f>
        <v>482750.80982625601</v>
      </c>
      <c r="R22" s="88">
        <f>SUM(R18:R21)</f>
        <v>123077.54255921999</v>
      </c>
      <c r="S22" s="88">
        <f>SUM(S18:S21)</f>
        <v>165958.55085137999</v>
      </c>
      <c r="T22" s="88">
        <f>SUM(T18:T21)</f>
        <v>43836.584879999995</v>
      </c>
      <c r="U22" s="88">
        <f>SUM(U18:U21)</f>
        <v>38996.914249999994</v>
      </c>
      <c r="V22" s="89">
        <f>SUM(Q22:U22)</f>
        <v>854620.402366856</v>
      </c>
      <c r="W22" s="88">
        <f t="shared" ref="W22:AB22" si="5">SUM(W18:W21)</f>
        <v>220861.57222</v>
      </c>
      <c r="X22" s="88">
        <f t="shared" si="5"/>
        <v>99784.935819999999</v>
      </c>
      <c r="Y22" s="88">
        <f t="shared" si="5"/>
        <v>19713.717949999998</v>
      </c>
      <c r="Z22" s="88">
        <f t="shared" si="5"/>
        <v>23322.375400000001</v>
      </c>
      <c r="AA22" s="88">
        <f t="shared" si="5"/>
        <v>69484.989091356052</v>
      </c>
      <c r="AB22" s="89">
        <f t="shared" si="5"/>
        <v>433167.59048135608</v>
      </c>
    </row>
    <row r="23" spans="2:28" ht="17" thickBot="1">
      <c r="B23" s="285"/>
      <c r="C23" s="286"/>
      <c r="D23" s="293"/>
      <c r="E23" s="286"/>
      <c r="F23" s="341"/>
      <c r="G23" s="394"/>
      <c r="H23" s="297"/>
      <c r="I23" s="298"/>
      <c r="J23" s="341"/>
      <c r="K23" s="293"/>
      <c r="L23" s="286"/>
      <c r="M23" s="297"/>
      <c r="N23" s="297"/>
      <c r="O23" s="298"/>
      <c r="P23" s="350"/>
      <c r="Q23" s="296"/>
      <c r="R23" s="286"/>
      <c r="S23" s="286"/>
      <c r="T23" s="286"/>
      <c r="U23" s="286"/>
      <c r="V23" s="295"/>
      <c r="W23" s="295"/>
      <c r="X23" s="286"/>
      <c r="Y23" s="286"/>
      <c r="Z23" s="286"/>
      <c r="AA23" s="286"/>
      <c r="AB23" s="295"/>
    </row>
    <row r="24" spans="2:28">
      <c r="B24" s="7" t="s">
        <v>257</v>
      </c>
      <c r="C24" s="8"/>
      <c r="D24" s="8"/>
      <c r="E24" s="8"/>
      <c r="F24" s="169"/>
      <c r="G24" s="169"/>
      <c r="H24" s="169"/>
      <c r="I24" s="169"/>
      <c r="J24" s="170"/>
      <c r="K24" s="8"/>
      <c r="L24" s="8"/>
      <c r="M24" s="169"/>
      <c r="N24" s="169"/>
      <c r="O24" s="169"/>
      <c r="P24" s="170"/>
      <c r="Q24" s="4"/>
      <c r="R24" s="4"/>
      <c r="S24" s="4"/>
      <c r="T24" s="4"/>
      <c r="U24" s="4"/>
      <c r="V24" s="4"/>
      <c r="W24" s="4"/>
      <c r="X24" s="4"/>
      <c r="Y24" s="4"/>
      <c r="Z24" s="4"/>
      <c r="AA24" s="4"/>
      <c r="AB24" s="4"/>
    </row>
    <row r="25" spans="2:28">
      <c r="B25" s="9"/>
      <c r="C25" s="10" t="s">
        <v>258</v>
      </c>
      <c r="D25" s="66">
        <f>D13/Business!$D$99</f>
        <v>9806.9900886802279</v>
      </c>
      <c r="E25" s="66">
        <f>E13/Business!$D$99</f>
        <v>14762.649973917578</v>
      </c>
      <c r="F25" s="66">
        <f>F13/Business!$D$99</f>
        <v>41695.781429316638</v>
      </c>
      <c r="G25" s="66">
        <f>G13/Business!$D$100</f>
        <v>480865.90909090912</v>
      </c>
      <c r="H25" s="66">
        <f>H13/Business!$D$99</f>
        <v>0</v>
      </c>
      <c r="I25" s="177">
        <f>+I13</f>
        <v>25396</v>
      </c>
      <c r="J25" s="65">
        <f>SUM(D25:I25)</f>
        <v>572527.3305828236</v>
      </c>
      <c r="K25" s="90">
        <v>8790.6984458708594</v>
      </c>
      <c r="L25" s="90">
        <v>27151.647841303016</v>
      </c>
      <c r="M25" s="90">
        <v>19201.318051892766</v>
      </c>
      <c r="N25" s="90">
        <v>552.87411609250694</v>
      </c>
      <c r="O25" s="177">
        <v>16120</v>
      </c>
      <c r="P25" s="178">
        <f>SUM(K25:O25)</f>
        <v>71816.538455159141</v>
      </c>
      <c r="Q25" s="66">
        <v>4515.7439999999997</v>
      </c>
      <c r="R25" s="66">
        <v>23639.919839999999</v>
      </c>
      <c r="S25" s="66">
        <v>7141.649136</v>
      </c>
      <c r="T25" s="66">
        <v>0</v>
      </c>
      <c r="U25" s="66"/>
      <c r="V25" s="65">
        <f>SUM(Q25:U25)</f>
        <v>35297.312976000001</v>
      </c>
      <c r="W25" s="66">
        <v>8220</v>
      </c>
      <c r="X25" s="66">
        <v>28117.342000000001</v>
      </c>
      <c r="Y25" s="66">
        <v>0</v>
      </c>
      <c r="Z25" s="66">
        <v>0</v>
      </c>
      <c r="AA25" s="66">
        <v>69484.989091356052</v>
      </c>
      <c r="AB25" s="65">
        <f>SUM(W25:AA25)</f>
        <v>105822.33109135606</v>
      </c>
    </row>
    <row r="26" spans="2:28">
      <c r="B26" s="9"/>
      <c r="C26" s="10" t="s">
        <v>259</v>
      </c>
      <c r="D26" s="66">
        <f>D14/Business!$D$99</f>
        <v>202301.87793427228</v>
      </c>
      <c r="E26" s="66">
        <f>E14/Business!$D$99</f>
        <v>82347.810119979127</v>
      </c>
      <c r="F26" s="66">
        <f>F14/Business!$D$99</f>
        <v>293032.90558163798</v>
      </c>
      <c r="G26" s="66">
        <f>G14/Business!$D$100</f>
        <v>120216.76136363637</v>
      </c>
      <c r="H26" s="66">
        <f>H14/Business!$D$99</f>
        <v>21421.49191444966</v>
      </c>
      <c r="I26" s="177">
        <f>+I14</f>
        <v>0</v>
      </c>
      <c r="J26" s="65">
        <f>SUM(D26:I26)</f>
        <v>719320.84691397543</v>
      </c>
      <c r="K26" s="90">
        <v>357876.10920369544</v>
      </c>
      <c r="L26" s="90">
        <v>72304.663493169253</v>
      </c>
      <c r="M26" s="90">
        <v>563249.74871871423</v>
      </c>
      <c r="N26" s="90">
        <v>43522.250418802148</v>
      </c>
      <c r="O26" s="177">
        <v>0</v>
      </c>
      <c r="P26" s="178">
        <f>SUM(K26:O26)</f>
        <v>1036952.771834381</v>
      </c>
      <c r="Q26" s="66">
        <v>478235.07034199999</v>
      </c>
      <c r="R26" s="66">
        <v>99437.642475599991</v>
      </c>
      <c r="S26" s="66">
        <v>158816.9101824</v>
      </c>
      <c r="T26" s="66">
        <v>43836.584880000002</v>
      </c>
      <c r="U26" s="66"/>
      <c r="V26" s="65">
        <f>SUM(Q26:U26)</f>
        <v>780326.20788</v>
      </c>
      <c r="W26" s="66">
        <v>212642</v>
      </c>
      <c r="X26" s="66">
        <v>71668</v>
      </c>
      <c r="Y26" s="66">
        <v>19713.717950000002</v>
      </c>
      <c r="Z26" s="66">
        <v>23322.375400000001</v>
      </c>
      <c r="AA26" s="66"/>
      <c r="AB26" s="65">
        <f>SUM(W26:AA26)</f>
        <v>327346.09335000004</v>
      </c>
    </row>
    <row r="27" spans="2:28">
      <c r="B27" s="71"/>
      <c r="C27" s="14" t="s">
        <v>262</v>
      </c>
      <c r="D27" s="88">
        <f t="shared" ref="D27:J27" si="6">SUM(D25:D26)</f>
        <v>212108.86802295252</v>
      </c>
      <c r="E27" s="88">
        <f t="shared" si="6"/>
        <v>97110.460093896705</v>
      </c>
      <c r="F27" s="180">
        <f>SUM(F25:F26)</f>
        <v>334728.6870109546</v>
      </c>
      <c r="G27" s="180">
        <f t="shared" si="6"/>
        <v>601082.67045454553</v>
      </c>
      <c r="H27" s="180">
        <f t="shared" si="6"/>
        <v>21421.49191444966</v>
      </c>
      <c r="I27" s="180">
        <f t="shared" si="6"/>
        <v>25396</v>
      </c>
      <c r="J27" s="181">
        <f t="shared" si="6"/>
        <v>1291848.177496799</v>
      </c>
      <c r="K27" s="88">
        <f t="shared" ref="K27:AB27" si="7">SUM(K25:K26)</f>
        <v>366666.80764956627</v>
      </c>
      <c r="L27" s="88">
        <f t="shared" si="7"/>
        <v>99456.311334472266</v>
      </c>
      <c r="M27" s="180">
        <f t="shared" si="7"/>
        <v>582451.06677060702</v>
      </c>
      <c r="N27" s="180">
        <f t="shared" si="7"/>
        <v>44075.124534894654</v>
      </c>
      <c r="O27" s="180">
        <f t="shared" si="7"/>
        <v>16120</v>
      </c>
      <c r="P27" s="181">
        <f t="shared" si="7"/>
        <v>1108769.3102895401</v>
      </c>
      <c r="Q27" s="88">
        <f t="shared" si="7"/>
        <v>482750.814342</v>
      </c>
      <c r="R27" s="88">
        <f t="shared" si="7"/>
        <v>123077.56231559999</v>
      </c>
      <c r="S27" s="88">
        <f t="shared" si="7"/>
        <v>165958.55931839999</v>
      </c>
      <c r="T27" s="88">
        <f t="shared" si="7"/>
        <v>43836.584880000002</v>
      </c>
      <c r="U27" s="88">
        <f t="shared" si="7"/>
        <v>0</v>
      </c>
      <c r="V27" s="89">
        <f t="shared" si="7"/>
        <v>815623.52085600002</v>
      </c>
      <c r="W27" s="88">
        <f t="shared" si="7"/>
        <v>220862</v>
      </c>
      <c r="X27" s="88">
        <f t="shared" si="7"/>
        <v>99785.342000000004</v>
      </c>
      <c r="Y27" s="88">
        <f t="shared" si="7"/>
        <v>19713.717950000002</v>
      </c>
      <c r="Z27" s="88">
        <f t="shared" si="7"/>
        <v>23322.375400000001</v>
      </c>
      <c r="AA27" s="88">
        <f t="shared" si="7"/>
        <v>69484.989091356052</v>
      </c>
      <c r="AB27" s="89">
        <f t="shared" si="7"/>
        <v>433168.4244413561</v>
      </c>
    </row>
    <row r="28" spans="2:28" ht="17" thickBot="1">
      <c r="B28" s="285"/>
      <c r="C28" s="286"/>
      <c r="D28" s="286"/>
      <c r="E28" s="286"/>
      <c r="F28" s="286"/>
      <c r="G28" s="286"/>
      <c r="H28" s="286"/>
      <c r="I28" s="286"/>
      <c r="J28" s="296"/>
      <c r="K28" s="286"/>
      <c r="L28" s="286"/>
      <c r="M28" s="286"/>
      <c r="N28" s="286"/>
      <c r="O28" s="286"/>
      <c r="P28" s="296"/>
      <c r="Q28" s="286"/>
      <c r="R28" s="286"/>
      <c r="S28" s="286"/>
      <c r="T28" s="286"/>
      <c r="U28" s="286"/>
      <c r="V28" s="295"/>
      <c r="W28" s="286"/>
      <c r="X28" s="286"/>
      <c r="Y28" s="286"/>
      <c r="Z28" s="286"/>
      <c r="AA28" s="286"/>
      <c r="AB28" s="295"/>
    </row>
    <row r="29" spans="2:28">
      <c r="B29" s="7" t="s">
        <v>264</v>
      </c>
      <c r="C29" s="8"/>
      <c r="D29" s="8"/>
      <c r="E29" s="8"/>
      <c r="F29" s="8"/>
      <c r="G29" s="8"/>
      <c r="H29" s="8"/>
      <c r="I29" s="8"/>
      <c r="J29" s="4"/>
      <c r="K29" s="8"/>
      <c r="L29" s="8"/>
      <c r="M29" s="8"/>
      <c r="N29" s="8"/>
      <c r="O29" s="8"/>
      <c r="P29" s="4"/>
      <c r="Q29" s="4"/>
      <c r="R29" s="4"/>
      <c r="S29" s="4"/>
      <c r="T29" s="4"/>
      <c r="U29" s="4"/>
      <c r="V29" s="25"/>
      <c r="W29" s="4"/>
      <c r="X29" s="4"/>
      <c r="Y29" s="4"/>
      <c r="Z29" s="4"/>
      <c r="AA29" s="4"/>
      <c r="AB29" s="4"/>
    </row>
    <row r="30" spans="2:28">
      <c r="B30" s="9"/>
      <c r="C30" s="10" t="s">
        <v>265</v>
      </c>
      <c r="D30" s="10">
        <v>6</v>
      </c>
      <c r="E30" s="10">
        <v>4</v>
      </c>
      <c r="F30" s="10">
        <v>38</v>
      </c>
      <c r="G30">
        <v>43</v>
      </c>
      <c r="H30" s="689" t="s">
        <v>26</v>
      </c>
      <c r="I30" s="690"/>
      <c r="J30" s="11">
        <f>SUM(D30:I30)</f>
        <v>91</v>
      </c>
      <c r="K30" s="10">
        <v>7</v>
      </c>
      <c r="L30" s="10">
        <v>4</v>
      </c>
      <c r="M30" s="10">
        <v>26</v>
      </c>
      <c r="N30" s="689" t="s">
        <v>26</v>
      </c>
      <c r="O30" s="690"/>
      <c r="P30" s="11">
        <f>SUM(K30:O30)</f>
        <v>37</v>
      </c>
      <c r="Q30" s="12">
        <v>10</v>
      </c>
      <c r="R30" s="12">
        <f>21-3</f>
        <v>18</v>
      </c>
      <c r="S30" s="12">
        <v>25</v>
      </c>
      <c r="T30" s="695" t="s">
        <v>26</v>
      </c>
      <c r="U30" s="690"/>
      <c r="V30" s="11">
        <f>SUM(Q30:U30)</f>
        <v>53</v>
      </c>
      <c r="W30" s="12">
        <v>1</v>
      </c>
      <c r="X30" s="12">
        <v>12</v>
      </c>
      <c r="Y30" s="12">
        <v>8</v>
      </c>
      <c r="Z30" s="12"/>
      <c r="AA30" s="12"/>
      <c r="AB30" s="11">
        <f>SUM(W30:AA30)</f>
        <v>21</v>
      </c>
    </row>
    <row r="31" spans="2:28" ht="30">
      <c r="B31" s="9"/>
      <c r="C31" s="10" t="s">
        <v>266</v>
      </c>
      <c r="D31" s="10">
        <v>0</v>
      </c>
      <c r="E31" s="10">
        <v>0</v>
      </c>
      <c r="F31" s="10">
        <v>2</v>
      </c>
      <c r="G31" s="10">
        <v>0</v>
      </c>
      <c r="H31" s="691"/>
      <c r="I31" s="692"/>
      <c r="J31" s="11">
        <f>SUM(D31:I31)</f>
        <v>2</v>
      </c>
      <c r="K31" s="10">
        <v>0</v>
      </c>
      <c r="L31" s="10">
        <v>0</v>
      </c>
      <c r="M31" s="10">
        <v>2</v>
      </c>
      <c r="N31" s="691"/>
      <c r="O31" s="692"/>
      <c r="P31" s="11">
        <f>SUM(K31:O31)</f>
        <v>2</v>
      </c>
      <c r="Q31" s="12">
        <v>2</v>
      </c>
      <c r="R31" s="12">
        <v>3</v>
      </c>
      <c r="S31" s="12">
        <v>1</v>
      </c>
      <c r="T31" s="691"/>
      <c r="U31" s="692"/>
      <c r="V31" s="11">
        <f>SUM(Q31:U31)</f>
        <v>6</v>
      </c>
      <c r="W31" s="12">
        <v>2</v>
      </c>
      <c r="X31" s="12">
        <v>3</v>
      </c>
      <c r="Y31" s="12">
        <v>6</v>
      </c>
      <c r="Z31" s="12"/>
      <c r="AA31" s="12"/>
      <c r="AB31" s="11">
        <f>SUM(W31:AA31)</f>
        <v>11</v>
      </c>
    </row>
    <row r="32" spans="2:28">
      <c r="B32" s="9"/>
      <c r="C32" s="10" t="s">
        <v>267</v>
      </c>
      <c r="D32" s="10">
        <v>6</v>
      </c>
      <c r="E32" s="10">
        <v>4</v>
      </c>
      <c r="F32" s="10">
        <v>39</v>
      </c>
      <c r="G32">
        <v>43</v>
      </c>
      <c r="H32" s="691"/>
      <c r="I32" s="692"/>
      <c r="J32" s="11">
        <f>SUM(D32:I32)</f>
        <v>92</v>
      </c>
      <c r="K32" s="10">
        <v>7</v>
      </c>
      <c r="L32" s="10">
        <v>4</v>
      </c>
      <c r="M32" s="10">
        <v>26</v>
      </c>
      <c r="N32" s="691"/>
      <c r="O32" s="692"/>
      <c r="P32" s="11">
        <f>SUM(K32:O32)</f>
        <v>37</v>
      </c>
      <c r="Q32" s="12">
        <v>12</v>
      </c>
      <c r="R32" s="12">
        <v>14</v>
      </c>
      <c r="S32" s="12">
        <v>24</v>
      </c>
      <c r="T32" s="691"/>
      <c r="U32" s="692"/>
      <c r="V32" s="11">
        <f>SUM(Q32:U32)</f>
        <v>50</v>
      </c>
      <c r="W32" s="12">
        <v>1</v>
      </c>
      <c r="X32" s="12">
        <v>12</v>
      </c>
      <c r="Y32" s="12">
        <v>9</v>
      </c>
      <c r="Z32" s="12"/>
      <c r="AA32" s="12"/>
      <c r="AB32" s="11">
        <f>SUM(W32:AA32)</f>
        <v>22</v>
      </c>
    </row>
    <row r="33" spans="2:28">
      <c r="B33" s="9"/>
      <c r="C33" s="10" t="s">
        <v>268</v>
      </c>
      <c r="D33" s="22">
        <f>D32/(D31+D30)</f>
        <v>1</v>
      </c>
      <c r="E33" s="22">
        <f>E32/(E31+E30)</f>
        <v>1</v>
      </c>
      <c r="F33" s="22">
        <f>F32/(F31+F30)</f>
        <v>0.97499999999999998</v>
      </c>
      <c r="G33" s="22">
        <f>G32/(G31+G30)</f>
        <v>1</v>
      </c>
      <c r="H33" s="691"/>
      <c r="I33" s="692"/>
      <c r="J33" s="26">
        <f>J32/(J31+J30)</f>
        <v>0.989247311827957</v>
      </c>
      <c r="K33" s="22">
        <f>K32/(K31+K30)</f>
        <v>1</v>
      </c>
      <c r="L33" s="22">
        <f>L32/(L31+L30)</f>
        <v>1</v>
      </c>
      <c r="M33" s="22">
        <f>M32/(M31+M30)</f>
        <v>0.9285714285714286</v>
      </c>
      <c r="N33" s="691"/>
      <c r="O33" s="692"/>
      <c r="P33" s="26">
        <f>P32/(P31+P30)</f>
        <v>0.94871794871794868</v>
      </c>
      <c r="Q33" s="22">
        <f>Q32/(Q31+Q30)</f>
        <v>1</v>
      </c>
      <c r="R33" s="22">
        <f>R32/(R31+R30)</f>
        <v>0.66666666666666663</v>
      </c>
      <c r="S33" s="22">
        <f>S32/(S31+S30)</f>
        <v>0.92307692307692313</v>
      </c>
      <c r="T33" s="691"/>
      <c r="U33" s="692"/>
      <c r="V33" s="26">
        <f>V32/(V31+V30)</f>
        <v>0.84745762711864403</v>
      </c>
      <c r="W33" s="22">
        <f>W32/(W31+W30)</f>
        <v>0.33333333333333331</v>
      </c>
      <c r="X33" s="22">
        <f>X32/(X31+X30)</f>
        <v>0.8</v>
      </c>
      <c r="Y33" s="22">
        <f>Y32/(Y31+Y30)</f>
        <v>0.6428571428571429</v>
      </c>
      <c r="Z33" s="22"/>
      <c r="AA33" s="22"/>
      <c r="AB33" s="26">
        <f>AB32/(AB31+AB30)</f>
        <v>0.6875</v>
      </c>
    </row>
    <row r="34" spans="2:28" ht="30">
      <c r="B34" s="9"/>
      <c r="C34" s="10" t="s">
        <v>269</v>
      </c>
      <c r="D34" s="20">
        <f>D36/D30</f>
        <v>0</v>
      </c>
      <c r="E34" s="20">
        <f>E36/E30</f>
        <v>0</v>
      </c>
      <c r="F34" s="20">
        <f>F36/F30</f>
        <v>2.6315789473684209E-2</v>
      </c>
      <c r="G34" s="20">
        <f>G36/G30</f>
        <v>0</v>
      </c>
      <c r="H34" s="691"/>
      <c r="I34" s="692"/>
      <c r="J34" s="26">
        <f>10/J32</f>
        <v>0.10869565217391304</v>
      </c>
      <c r="K34" s="20">
        <f>1/K30</f>
        <v>0.14285714285714285</v>
      </c>
      <c r="L34" s="20">
        <f>1/L30</f>
        <v>0.25</v>
      </c>
      <c r="M34" s="20">
        <f>8/M30</f>
        <v>0.30769230769230771</v>
      </c>
      <c r="N34" s="691"/>
      <c r="O34" s="692"/>
      <c r="P34" s="26">
        <f>10/P32</f>
        <v>0.27027027027027029</v>
      </c>
      <c r="Q34" s="22"/>
      <c r="R34" s="22"/>
      <c r="S34" s="22"/>
      <c r="T34" s="691"/>
      <c r="U34" s="692"/>
      <c r="V34" s="91" t="s">
        <v>263</v>
      </c>
      <c r="W34" s="92"/>
      <c r="X34" s="92"/>
      <c r="Y34" s="92"/>
      <c r="Z34" s="92"/>
      <c r="AA34" s="92"/>
      <c r="AB34" s="91" t="s">
        <v>263</v>
      </c>
    </row>
    <row r="35" spans="2:28">
      <c r="B35" s="9"/>
      <c r="C35" s="10" t="s">
        <v>270</v>
      </c>
      <c r="D35" s="20">
        <v>0</v>
      </c>
      <c r="E35" s="20">
        <v>0</v>
      </c>
      <c r="F35" s="20">
        <f>5/F32</f>
        <v>0.12820512820512819</v>
      </c>
      <c r="G35" s="20">
        <f>3/G32</f>
        <v>6.9767441860465115E-2</v>
      </c>
      <c r="H35" s="691"/>
      <c r="I35" s="692"/>
      <c r="J35" s="630">
        <f>(3+5)/J32</f>
        <v>8.6956521739130432E-2</v>
      </c>
      <c r="K35" s="20"/>
      <c r="L35" s="20"/>
      <c r="M35" s="20"/>
      <c r="N35" s="691"/>
      <c r="O35" s="692"/>
      <c r="P35" s="91" t="s">
        <v>263</v>
      </c>
      <c r="Q35" s="22"/>
      <c r="R35" s="22"/>
      <c r="S35" s="22"/>
      <c r="T35" s="691"/>
      <c r="U35" s="692"/>
      <c r="V35" s="91" t="s">
        <v>263</v>
      </c>
      <c r="W35" s="92"/>
      <c r="X35" s="92"/>
      <c r="Y35" s="92"/>
      <c r="Z35" s="92"/>
      <c r="AA35" s="92"/>
      <c r="AB35" s="91" t="s">
        <v>263</v>
      </c>
    </row>
    <row r="36" spans="2:28">
      <c r="B36" s="9"/>
      <c r="C36" s="10" t="s">
        <v>271</v>
      </c>
      <c r="D36" s="10">
        <v>0</v>
      </c>
      <c r="E36" s="10">
        <v>0</v>
      </c>
      <c r="F36" s="10">
        <v>1</v>
      </c>
      <c r="G36" s="10">
        <v>0</v>
      </c>
      <c r="H36" s="693"/>
      <c r="I36" s="694"/>
      <c r="J36" s="11">
        <f>SUM(D36:I36)</f>
        <v>1</v>
      </c>
      <c r="K36" s="10">
        <v>0</v>
      </c>
      <c r="L36" s="10">
        <v>0</v>
      </c>
      <c r="M36" s="10">
        <v>2</v>
      </c>
      <c r="N36" s="693"/>
      <c r="O36" s="694"/>
      <c r="P36" s="11">
        <f>SUM(K36:O36)</f>
        <v>2</v>
      </c>
      <c r="Q36" s="12">
        <v>0</v>
      </c>
      <c r="R36" s="12">
        <v>7</v>
      </c>
      <c r="S36" s="12">
        <v>2</v>
      </c>
      <c r="T36" s="693"/>
      <c r="U36" s="694"/>
      <c r="V36" s="11">
        <f>SUM(Q36:U36)</f>
        <v>9</v>
      </c>
      <c r="W36" s="12">
        <v>2</v>
      </c>
      <c r="X36" s="12">
        <v>3</v>
      </c>
      <c r="Y36" s="12">
        <v>5</v>
      </c>
      <c r="Z36" s="12"/>
      <c r="AA36" s="12"/>
      <c r="AB36" s="11">
        <f>SUM(W36:AA36)</f>
        <v>10</v>
      </c>
    </row>
    <row r="37" spans="2:28" ht="17" thickBot="1">
      <c r="B37" s="285"/>
      <c r="C37" s="286"/>
      <c r="D37" s="286"/>
      <c r="E37" s="286"/>
      <c r="F37" s="286"/>
      <c r="G37" s="286"/>
      <c r="H37" s="286"/>
      <c r="I37" s="299"/>
      <c r="J37" s="290"/>
      <c r="K37" s="286"/>
      <c r="L37" s="286"/>
      <c r="M37" s="286"/>
      <c r="N37" s="286"/>
      <c r="O37" s="299"/>
      <c r="P37" s="290"/>
      <c r="Q37" s="285"/>
      <c r="R37" s="285"/>
      <c r="S37" s="285"/>
      <c r="T37" s="285"/>
      <c r="U37" s="285"/>
      <c r="V37" s="291"/>
      <c r="W37" s="285"/>
      <c r="X37" s="285"/>
      <c r="Y37" s="285"/>
      <c r="Z37" s="285"/>
      <c r="AA37" s="285"/>
      <c r="AB37" s="285"/>
    </row>
    <row r="38" spans="2:28">
      <c r="B38" s="7" t="s">
        <v>272</v>
      </c>
      <c r="C38" s="8"/>
      <c r="D38" s="8"/>
      <c r="E38" s="8"/>
      <c r="F38" s="8"/>
      <c r="G38" s="8"/>
      <c r="H38" s="8"/>
      <c r="I38" s="8"/>
      <c r="J38" s="4"/>
      <c r="K38" s="8"/>
      <c r="L38" s="8"/>
      <c r="M38" s="8"/>
      <c r="N38" s="8"/>
      <c r="O38" s="8"/>
      <c r="P38" s="4"/>
      <c r="Q38" s="4"/>
      <c r="R38" s="4"/>
      <c r="S38" s="4"/>
      <c r="T38" s="4"/>
      <c r="U38" s="4"/>
      <c r="V38" s="4"/>
      <c r="W38" s="4"/>
      <c r="X38" s="4"/>
      <c r="Y38" s="4"/>
      <c r="Z38" s="4"/>
      <c r="AA38" s="4"/>
      <c r="AB38" s="4"/>
    </row>
    <row r="39" spans="2:28">
      <c r="B39" s="9"/>
      <c r="C39" s="10" t="s">
        <v>273</v>
      </c>
      <c r="D39" s="10">
        <v>16</v>
      </c>
      <c r="E39" s="10">
        <v>14</v>
      </c>
      <c r="F39" s="10">
        <v>2</v>
      </c>
      <c r="G39" s="10">
        <v>2</v>
      </c>
      <c r="H39" s="689" t="s">
        <v>26</v>
      </c>
      <c r="I39" s="690"/>
      <c r="J39" s="11">
        <f>SUM(D39:I39)</f>
        <v>34</v>
      </c>
      <c r="K39" s="10">
        <v>14</v>
      </c>
      <c r="L39" s="10">
        <v>14</v>
      </c>
      <c r="M39" s="10">
        <v>3</v>
      </c>
      <c r="N39" s="689" t="s">
        <v>26</v>
      </c>
      <c r="O39" s="690"/>
      <c r="P39" s="11">
        <f>SUM(K39:O39)</f>
        <v>31</v>
      </c>
      <c r="Q39" s="12">
        <v>28</v>
      </c>
      <c r="R39" s="12">
        <f>27+2</f>
        <v>29</v>
      </c>
      <c r="S39" s="12">
        <v>0</v>
      </c>
      <c r="T39" s="12">
        <v>0</v>
      </c>
      <c r="U39" s="12">
        <v>0</v>
      </c>
      <c r="V39" s="11">
        <f>SUM(Q39:U39)</f>
        <v>57</v>
      </c>
      <c r="W39" s="12">
        <v>20</v>
      </c>
      <c r="X39" s="12">
        <f>2+31</f>
        <v>33</v>
      </c>
      <c r="Y39" s="12">
        <v>0</v>
      </c>
      <c r="Z39" s="12">
        <v>0</v>
      </c>
      <c r="AA39" s="12">
        <v>0</v>
      </c>
      <c r="AB39" s="11">
        <f>SUM(W39:AA39)</f>
        <v>53</v>
      </c>
    </row>
    <row r="40" spans="2:28">
      <c r="B40" s="9"/>
      <c r="C40" s="10" t="s">
        <v>274</v>
      </c>
      <c r="D40" s="10">
        <v>35</v>
      </c>
      <c r="E40" s="10">
        <v>30</v>
      </c>
      <c r="F40" s="10">
        <v>13</v>
      </c>
      <c r="G40" s="10">
        <v>2</v>
      </c>
      <c r="H40" s="691"/>
      <c r="I40" s="692"/>
      <c r="J40" s="11">
        <f>SUM(D40:I40)</f>
        <v>80</v>
      </c>
      <c r="K40" s="10">
        <v>28</v>
      </c>
      <c r="L40" s="10">
        <v>40</v>
      </c>
      <c r="M40" s="10">
        <v>8</v>
      </c>
      <c r="N40" s="691"/>
      <c r="O40" s="692"/>
      <c r="P40" s="11">
        <f>SUM(K40:O40)</f>
        <v>76</v>
      </c>
      <c r="Q40" s="12">
        <v>14</v>
      </c>
      <c r="R40" s="12">
        <f>61+10</f>
        <v>71</v>
      </c>
      <c r="S40" s="12">
        <v>0</v>
      </c>
      <c r="T40" s="12">
        <v>0</v>
      </c>
      <c r="U40" s="12">
        <v>0</v>
      </c>
      <c r="V40" s="11">
        <f>SUM(Q40:U40)</f>
        <v>85</v>
      </c>
      <c r="W40" s="12">
        <v>38</v>
      </c>
      <c r="X40" s="12">
        <f>10+54</f>
        <v>64</v>
      </c>
      <c r="Y40" s="12">
        <v>0</v>
      </c>
      <c r="Z40" s="12">
        <v>0</v>
      </c>
      <c r="AA40" s="12">
        <v>0</v>
      </c>
      <c r="AB40" s="11">
        <f>SUM(W40:AA40)</f>
        <v>102</v>
      </c>
    </row>
    <row r="41" spans="2:28">
      <c r="B41" s="71"/>
      <c r="C41" s="14" t="s">
        <v>275</v>
      </c>
      <c r="D41" s="14">
        <f>SUM(D39:D40)</f>
        <v>51</v>
      </c>
      <c r="E41" s="14">
        <f>SUM(E39:E40)</f>
        <v>44</v>
      </c>
      <c r="F41" s="14">
        <f>SUM(F39:F40)</f>
        <v>15</v>
      </c>
      <c r="G41" s="14">
        <f>SUM(G39:G40)</f>
        <v>4</v>
      </c>
      <c r="H41" s="693"/>
      <c r="I41" s="694"/>
      <c r="J41" s="18">
        <f>SUM(D41:I41)</f>
        <v>114</v>
      </c>
      <c r="K41" s="14">
        <f>SUM(K39:K40)</f>
        <v>42</v>
      </c>
      <c r="L41" s="14">
        <f>SUM(L39:L40)</f>
        <v>54</v>
      </c>
      <c r="M41" s="14">
        <f>SUM(M39:M40)</f>
        <v>11</v>
      </c>
      <c r="N41" s="693"/>
      <c r="O41" s="694"/>
      <c r="P41" s="18">
        <f>SUM(K41:O41)</f>
        <v>107</v>
      </c>
      <c r="Q41" s="17">
        <f>SUM(Q39:Q40)</f>
        <v>42</v>
      </c>
      <c r="R41" s="17">
        <f>SUM(R39:R40)</f>
        <v>100</v>
      </c>
      <c r="S41" s="17">
        <f>SUM(S39:S40)</f>
        <v>0</v>
      </c>
      <c r="T41" s="17">
        <f>SUM(T39:T40)</f>
        <v>0</v>
      </c>
      <c r="U41" s="17">
        <f>SUM(U39:U40)</f>
        <v>0</v>
      </c>
      <c r="V41" s="18">
        <f>SUM(Q41:U41)</f>
        <v>142</v>
      </c>
      <c r="W41" s="17">
        <f>SUM(W39:W40)</f>
        <v>58</v>
      </c>
      <c r="X41" s="17">
        <f>SUM(X39:X40)</f>
        <v>97</v>
      </c>
      <c r="Y41" s="17">
        <f>SUM(Y39:Y40)</f>
        <v>0</v>
      </c>
      <c r="Z41" s="17">
        <f>SUM(Z39:Z40)</f>
        <v>0</v>
      </c>
      <c r="AA41" s="17">
        <f>SUM(AA39:AA40)</f>
        <v>0</v>
      </c>
      <c r="AB41" s="18">
        <f>SUM(W41:AA41)</f>
        <v>155</v>
      </c>
    </row>
    <row r="42" spans="2:28" ht="17" thickBot="1">
      <c r="B42" s="285"/>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row>
    <row r="43" spans="2:28">
      <c r="B43" s="7" t="s">
        <v>276</v>
      </c>
      <c r="C43" s="8"/>
      <c r="D43" s="8"/>
      <c r="E43" s="8"/>
      <c r="F43" s="8"/>
      <c r="G43" s="8"/>
      <c r="H43" s="8"/>
      <c r="I43" s="8"/>
      <c r="J43" s="4"/>
      <c r="K43" s="8"/>
      <c r="L43" s="8"/>
      <c r="M43" s="8"/>
      <c r="N43" s="8"/>
      <c r="O43" s="8"/>
      <c r="P43" s="4"/>
      <c r="Q43" s="5"/>
      <c r="R43" s="5"/>
      <c r="S43" s="4"/>
      <c r="T43" s="4"/>
      <c r="U43" s="4"/>
      <c r="V43" s="4"/>
      <c r="W43" s="5"/>
      <c r="X43" s="5"/>
      <c r="Y43" s="4"/>
      <c r="Z43" s="4"/>
      <c r="AA43" s="4"/>
      <c r="AB43" s="4"/>
    </row>
    <row r="44" spans="2:28">
      <c r="B44" s="30"/>
      <c r="C44" s="10" t="s">
        <v>277</v>
      </c>
      <c r="D44" s="10">
        <v>7</v>
      </c>
      <c r="E44" s="10">
        <v>5</v>
      </c>
      <c r="F44" s="10">
        <v>9</v>
      </c>
      <c r="G44" s="10">
        <v>10</v>
      </c>
      <c r="H44" s="689" t="s">
        <v>26</v>
      </c>
      <c r="I44" s="690"/>
      <c r="J44" s="11">
        <f>SUM(D44:I44)</f>
        <v>31</v>
      </c>
      <c r="K44" s="10">
        <v>7</v>
      </c>
      <c r="L44" s="10">
        <v>4</v>
      </c>
      <c r="M44" s="10">
        <v>4</v>
      </c>
      <c r="N44" s="689" t="s">
        <v>26</v>
      </c>
      <c r="O44" s="690"/>
      <c r="P44" s="11">
        <f>SUM(K44:O44)</f>
        <v>15</v>
      </c>
      <c r="Q44" s="12">
        <v>2</v>
      </c>
      <c r="R44" s="12">
        <v>5</v>
      </c>
      <c r="S44" s="12"/>
      <c r="T44" s="12"/>
      <c r="U44" s="12"/>
      <c r="V44" s="11">
        <f>SUM(Q44:U44)</f>
        <v>7</v>
      </c>
      <c r="W44" s="12">
        <v>3</v>
      </c>
      <c r="X44" s="12">
        <v>4</v>
      </c>
      <c r="Y44" s="12"/>
      <c r="Z44" s="12"/>
      <c r="AA44" s="12"/>
      <c r="AB44" s="11">
        <f>SUM(W44:AA44)</f>
        <v>7</v>
      </c>
    </row>
    <row r="45" spans="2:28">
      <c r="B45" s="9"/>
      <c r="C45" s="10" t="s">
        <v>278</v>
      </c>
      <c r="D45" s="10">
        <v>23</v>
      </c>
      <c r="E45" s="10">
        <v>27</v>
      </c>
      <c r="F45" s="10">
        <v>18</v>
      </c>
      <c r="G45" s="10">
        <v>70</v>
      </c>
      <c r="H45" s="691"/>
      <c r="I45" s="692"/>
      <c r="J45" s="11">
        <f>SUM(D45:I45)</f>
        <v>138</v>
      </c>
      <c r="K45" s="10">
        <v>81</v>
      </c>
      <c r="L45" s="10">
        <v>20</v>
      </c>
      <c r="M45" s="10">
        <v>17</v>
      </c>
      <c r="N45" s="691"/>
      <c r="O45" s="692"/>
      <c r="P45" s="11">
        <f>SUM(K45:O45)</f>
        <v>118</v>
      </c>
      <c r="Q45" s="12">
        <v>2</v>
      </c>
      <c r="R45" s="12">
        <v>18</v>
      </c>
      <c r="S45" s="12">
        <v>0</v>
      </c>
      <c r="T45" s="12">
        <v>0</v>
      </c>
      <c r="U45" s="12">
        <v>0</v>
      </c>
      <c r="V45" s="11">
        <f>SUM(Q45:U45)</f>
        <v>20</v>
      </c>
      <c r="W45" s="12">
        <v>10</v>
      </c>
      <c r="X45" s="12">
        <v>2</v>
      </c>
      <c r="Y45" s="12">
        <v>9</v>
      </c>
      <c r="Z45" s="12">
        <v>0</v>
      </c>
      <c r="AA45" s="12">
        <v>0</v>
      </c>
      <c r="AB45" s="11">
        <f>SUM(W45:AA45)</f>
        <v>21</v>
      </c>
    </row>
    <row r="46" spans="2:28">
      <c r="B46" s="9"/>
      <c r="C46" s="10" t="s">
        <v>279</v>
      </c>
      <c r="D46" s="10">
        <v>56</v>
      </c>
      <c r="E46" s="10">
        <v>58</v>
      </c>
      <c r="F46" s="10">
        <v>97</v>
      </c>
      <c r="G46" s="10">
        <v>32</v>
      </c>
      <c r="H46" s="691"/>
      <c r="I46" s="692"/>
      <c r="J46" s="11">
        <f>SUM(D46:I46)</f>
        <v>243</v>
      </c>
      <c r="K46" s="10">
        <v>14</v>
      </c>
      <c r="L46" s="10">
        <v>49</v>
      </c>
      <c r="M46" s="10">
        <v>39</v>
      </c>
      <c r="N46" s="691"/>
      <c r="O46" s="692"/>
      <c r="P46" s="11">
        <f>SUM(K46:O46)</f>
        <v>102</v>
      </c>
      <c r="Q46" s="12">
        <f>11+13</f>
        <v>24</v>
      </c>
      <c r="R46" s="12">
        <v>79</v>
      </c>
      <c r="S46" s="12">
        <v>0</v>
      </c>
      <c r="T46" s="12">
        <v>0</v>
      </c>
      <c r="U46" s="12">
        <v>0</v>
      </c>
      <c r="V46" s="11">
        <f>SUM(Q46:U46)</f>
        <v>103</v>
      </c>
      <c r="W46" s="12">
        <v>21</v>
      </c>
      <c r="X46" s="12">
        <v>65</v>
      </c>
      <c r="Y46" s="12">
        <v>0</v>
      </c>
      <c r="Z46" s="12">
        <v>0</v>
      </c>
      <c r="AA46" s="12">
        <v>0</v>
      </c>
      <c r="AB46" s="11">
        <f>SUM(W46:AA46)</f>
        <v>86</v>
      </c>
    </row>
    <row r="47" spans="2:28" s="354" customFormat="1" ht="15">
      <c r="B47" s="71"/>
      <c r="C47" s="14" t="s">
        <v>280</v>
      </c>
      <c r="D47" s="14">
        <f>SUM(D45:D46)</f>
        <v>79</v>
      </c>
      <c r="E47" s="14">
        <f>SUM(E45:E46)</f>
        <v>85</v>
      </c>
      <c r="F47" s="14">
        <f>+F45+F46</f>
        <v>115</v>
      </c>
      <c r="G47" s="14">
        <f>+G45+G46</f>
        <v>102</v>
      </c>
      <c r="H47" s="693"/>
      <c r="I47" s="694"/>
      <c r="J47" s="18">
        <f>SUM(D47:I47)</f>
        <v>381</v>
      </c>
      <c r="K47" s="14">
        <f>SUM(K45:K46)</f>
        <v>95</v>
      </c>
      <c r="L47" s="14">
        <f>SUM(L45:L46)</f>
        <v>69</v>
      </c>
      <c r="M47" s="14">
        <f>+M45+M46</f>
        <v>56</v>
      </c>
      <c r="N47" s="693"/>
      <c r="O47" s="694"/>
      <c r="P47" s="18">
        <f>SUM(K47:O47)</f>
        <v>220</v>
      </c>
      <c r="Q47" s="17">
        <f>SUM(Q45:Q46)</f>
        <v>26</v>
      </c>
      <c r="R47" s="17">
        <f>SUM(R45:R46)</f>
        <v>97</v>
      </c>
      <c r="S47" s="17">
        <f>SUM(S45:S46)</f>
        <v>0</v>
      </c>
      <c r="T47" s="17">
        <f>SUM(T45:T46)</f>
        <v>0</v>
      </c>
      <c r="U47" s="17">
        <f>SUM(U45:U46)</f>
        <v>0</v>
      </c>
      <c r="V47" s="18">
        <f>SUM(Q47:U47)</f>
        <v>123</v>
      </c>
      <c r="W47" s="17">
        <f>SUM(W45:W46)</f>
        <v>31</v>
      </c>
      <c r="X47" s="17">
        <f>SUM(X45:X46)</f>
        <v>67</v>
      </c>
      <c r="Y47" s="17">
        <f>SUM(Y45:Y46)</f>
        <v>9</v>
      </c>
      <c r="Z47" s="17">
        <f>SUM(Z45:Z46)</f>
        <v>0</v>
      </c>
      <c r="AA47" s="17">
        <f>SUM(AA45:AA46)</f>
        <v>0</v>
      </c>
      <c r="AB47" s="18">
        <f>SUM(W47:AA47)</f>
        <v>107</v>
      </c>
    </row>
    <row r="48" spans="2:28" ht="12" customHeight="1" thickBot="1">
      <c r="B48" s="285"/>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row>
    <row r="52" spans="6:6">
      <c r="F52" s="349"/>
    </row>
    <row r="53" spans="6:6">
      <c r="F53" s="349"/>
    </row>
    <row r="54" spans="6:6">
      <c r="F54" s="340"/>
    </row>
  </sheetData>
  <sheetProtection algorithmName="SHA-512" hashValue="lTCuEre5azeGMH89PNZASEWM+ZPMX6X8Reco4SyIjxfxKPwAB2bSKZxf23c5tJinnu87ItJZ17Ra0dBN30Zg0g==" saltValue="fsMSVpPgY1eW/OeG8xF02g==" spinCount="100000" sheet="1" objects="1" scenarios="1"/>
  <mergeCells count="9">
    <mergeCell ref="H39:I41"/>
    <mergeCell ref="H44:I47"/>
    <mergeCell ref="N39:O41"/>
    <mergeCell ref="N44:O47"/>
    <mergeCell ref="B2:C2"/>
    <mergeCell ref="B4:C4"/>
    <mergeCell ref="N30:O36"/>
    <mergeCell ref="T30:U36"/>
    <mergeCell ref="H30:I36"/>
  </mergeCells>
  <pageMargins left="0.7" right="0.7" top="0.75" bottom="0.75" header="0" footer="0"/>
  <pageSetup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X71"/>
  <sheetViews>
    <sheetView showGridLines="0" zoomScaleNormal="100" workbookViewId="0">
      <selection activeCell="B2" sqref="B2:C2"/>
    </sheetView>
  </sheetViews>
  <sheetFormatPr baseColWidth="10" defaultColWidth="11.1640625" defaultRowHeight="15.75" customHeight="1"/>
  <cols>
    <col min="1" max="1" width="3.33203125" customWidth="1"/>
    <col min="2" max="2" width="2" customWidth="1"/>
    <col min="3" max="3" width="43.83203125" customWidth="1"/>
    <col min="4" max="4" width="12.1640625" customWidth="1"/>
    <col min="5" max="5" width="12.5" style="438" customWidth="1"/>
    <col min="6" max="6" width="11.5" style="438" customWidth="1"/>
    <col min="7" max="7" width="11.6640625" style="438" customWidth="1"/>
    <col min="8" max="9" width="11.5" style="438" customWidth="1"/>
    <col min="10" max="10" width="12.5" style="438" hidden="1" customWidth="1"/>
    <col min="11" max="11" width="11.5" style="438" hidden="1" customWidth="1"/>
    <col min="12" max="13" width="11.6640625" style="438" hidden="1" customWidth="1"/>
    <col min="14" max="14" width="11.6640625" style="438" customWidth="1"/>
    <col min="15" max="18" width="11.6640625" style="438" hidden="1" customWidth="1"/>
    <col min="19" max="19" width="11.6640625" style="438" customWidth="1"/>
    <col min="20" max="23" width="11.6640625" style="438" hidden="1" customWidth="1"/>
    <col min="24" max="24" width="11.6640625" style="438" customWidth="1"/>
  </cols>
  <sheetData>
    <row r="1" spans="2:24" ht="67" customHeight="1">
      <c r="E1"/>
      <c r="F1"/>
      <c r="G1"/>
      <c r="H1"/>
      <c r="I1"/>
      <c r="J1"/>
      <c r="K1"/>
      <c r="L1"/>
      <c r="M1"/>
      <c r="N1"/>
      <c r="O1"/>
      <c r="P1"/>
      <c r="Q1"/>
      <c r="R1"/>
      <c r="S1"/>
      <c r="T1"/>
      <c r="U1"/>
      <c r="V1"/>
      <c r="W1"/>
      <c r="X1"/>
    </row>
    <row r="2" spans="2:24" ht="16">
      <c r="B2" s="643" t="s">
        <v>4</v>
      </c>
      <c r="C2" s="687"/>
      <c r="D2" s="282"/>
      <c r="E2" s="439"/>
      <c r="F2" s="439"/>
      <c r="G2" s="439"/>
      <c r="H2" s="439"/>
      <c r="I2" s="439"/>
      <c r="J2" s="439"/>
      <c r="K2" s="439"/>
      <c r="L2" s="439"/>
      <c r="M2" s="439"/>
      <c r="N2" s="439"/>
      <c r="O2" s="439"/>
      <c r="P2" s="439"/>
      <c r="Q2" s="439"/>
      <c r="R2" s="439"/>
      <c r="S2" s="439"/>
      <c r="T2" s="439"/>
      <c r="U2" s="439"/>
      <c r="V2" s="439"/>
      <c r="W2" s="439"/>
      <c r="X2" s="439"/>
    </row>
    <row r="3" spans="2:24" ht="16">
      <c r="B3" s="4"/>
      <c r="C3" s="4"/>
      <c r="D3" s="4"/>
      <c r="E3" s="59"/>
      <c r="F3" s="59"/>
      <c r="G3" s="59"/>
      <c r="H3" s="59"/>
      <c r="I3" s="59"/>
      <c r="J3" s="59"/>
      <c r="K3" s="59"/>
      <c r="L3" s="59"/>
      <c r="M3" s="59"/>
      <c r="N3" s="59"/>
      <c r="O3" s="59"/>
      <c r="P3" s="59"/>
      <c r="Q3" s="59"/>
      <c r="R3" s="59"/>
      <c r="S3" s="59"/>
      <c r="T3" s="59"/>
      <c r="U3" s="59"/>
      <c r="V3" s="59"/>
      <c r="W3" s="59"/>
      <c r="X3" s="59"/>
    </row>
    <row r="4" spans="2:24" s="219" customFormat="1" ht="45">
      <c r="B4" s="645" t="s">
        <v>5</v>
      </c>
      <c r="C4" s="709"/>
      <c r="D4" s="283" t="s">
        <v>287</v>
      </c>
      <c r="E4" s="453" t="s">
        <v>19</v>
      </c>
      <c r="F4" s="453" t="s">
        <v>20</v>
      </c>
      <c r="G4" s="453" t="s">
        <v>21</v>
      </c>
      <c r="H4" s="453" t="s">
        <v>62</v>
      </c>
      <c r="I4" s="532" t="s">
        <v>608</v>
      </c>
      <c r="J4" s="453" t="s">
        <v>19</v>
      </c>
      <c r="K4" s="453" t="s">
        <v>20</v>
      </c>
      <c r="L4" s="453" t="s">
        <v>21</v>
      </c>
      <c r="M4" s="453" t="s">
        <v>62</v>
      </c>
      <c r="N4" s="532" t="s">
        <v>7</v>
      </c>
      <c r="O4" s="453" t="s">
        <v>19</v>
      </c>
      <c r="P4" s="453" t="s">
        <v>20</v>
      </c>
      <c r="Q4" s="453" t="s">
        <v>21</v>
      </c>
      <c r="R4" s="453" t="s">
        <v>23</v>
      </c>
      <c r="S4" s="532" t="s">
        <v>8</v>
      </c>
      <c r="T4" s="453" t="s">
        <v>19</v>
      </c>
      <c r="U4" s="453" t="s">
        <v>20</v>
      </c>
      <c r="V4" s="453" t="s">
        <v>21</v>
      </c>
      <c r="W4" s="453" t="s">
        <v>23</v>
      </c>
      <c r="X4" s="532" t="s">
        <v>68</v>
      </c>
    </row>
    <row r="5" spans="2:24" ht="16">
      <c r="B5" s="7" t="s">
        <v>288</v>
      </c>
      <c r="C5" s="8"/>
      <c r="D5" s="8"/>
      <c r="E5" s="533"/>
      <c r="F5" s="533"/>
      <c r="G5" s="533"/>
      <c r="H5" s="441"/>
      <c r="I5" s="441"/>
      <c r="J5" s="533"/>
      <c r="K5" s="533"/>
      <c r="L5" s="533"/>
      <c r="M5" s="441"/>
      <c r="N5" s="441"/>
      <c r="O5" s="59"/>
      <c r="P5" s="59"/>
      <c r="Q5" s="59"/>
      <c r="R5" s="59"/>
      <c r="S5" s="59"/>
      <c r="T5" s="59"/>
      <c r="U5" s="59"/>
      <c r="V5" s="59"/>
      <c r="W5" s="59"/>
      <c r="X5" s="59"/>
    </row>
    <row r="6" spans="2:24" ht="30">
      <c r="B6" s="9"/>
      <c r="C6" s="10" t="s">
        <v>289</v>
      </c>
      <c r="D6" s="10" t="s">
        <v>290</v>
      </c>
      <c r="E6" s="446">
        <v>42369</v>
      </c>
      <c r="F6" s="446">
        <v>0</v>
      </c>
      <c r="G6" s="446">
        <v>0</v>
      </c>
      <c r="H6" s="710" t="s">
        <v>26</v>
      </c>
      <c r="I6" s="534">
        <f>SUM(E6:H6)</f>
        <v>42369</v>
      </c>
      <c r="J6" s="535">
        <v>60547</v>
      </c>
      <c r="K6" s="535">
        <v>0</v>
      </c>
      <c r="L6" s="535">
        <v>0</v>
      </c>
      <c r="M6" s="701" t="s">
        <v>26</v>
      </c>
      <c r="N6" s="534">
        <f>SUM(J6:M6)</f>
        <v>60547</v>
      </c>
      <c r="O6" s="77">
        <v>85950</v>
      </c>
      <c r="P6" s="77">
        <v>0</v>
      </c>
      <c r="Q6" s="77">
        <v>0</v>
      </c>
      <c r="R6" s="701" t="s">
        <v>26</v>
      </c>
      <c r="S6" s="534">
        <f>SUM(O6:R6)</f>
        <v>85950</v>
      </c>
      <c r="T6" s="77">
        <v>34465</v>
      </c>
      <c r="U6" s="77">
        <v>0</v>
      </c>
      <c r="V6" s="77">
        <v>0</v>
      </c>
      <c r="W6" s="701" t="s">
        <v>26</v>
      </c>
      <c r="X6" s="534">
        <f>SUM(T6:W6)</f>
        <v>34465</v>
      </c>
    </row>
    <row r="7" spans="2:24" ht="17">
      <c r="B7" s="9"/>
      <c r="C7" s="10" t="s">
        <v>291</v>
      </c>
      <c r="D7" s="10" t="s">
        <v>290</v>
      </c>
      <c r="E7" s="446">
        <v>12354576</v>
      </c>
      <c r="F7" s="446">
        <v>236179</v>
      </c>
      <c r="G7" s="446">
        <f>60793+625905</f>
        <v>686698</v>
      </c>
      <c r="H7" s="719"/>
      <c r="I7" s="534">
        <f>SUM(E7:H7)</f>
        <v>13277453</v>
      </c>
      <c r="J7" s="535">
        <f>23080+2946550+5143689+1292383</f>
        <v>9405702</v>
      </c>
      <c r="K7" s="535">
        <v>136324</v>
      </c>
      <c r="L7" s="535">
        <v>0</v>
      </c>
      <c r="M7" s="703"/>
      <c r="N7" s="534">
        <f>SUM(J7:M7)</f>
        <v>9542026</v>
      </c>
      <c r="O7" s="33">
        <f>+O18+O35</f>
        <v>8724224</v>
      </c>
      <c r="P7" s="77">
        <v>124663</v>
      </c>
      <c r="Q7" s="77">
        <v>0</v>
      </c>
      <c r="R7" s="703"/>
      <c r="S7" s="534">
        <f>SUM(O7:R7)</f>
        <v>8848887</v>
      </c>
      <c r="T7" s="77">
        <f>+T18+T35</f>
        <v>8518962</v>
      </c>
      <c r="U7" s="77">
        <v>50568</v>
      </c>
      <c r="V7" s="77">
        <v>0</v>
      </c>
      <c r="W7" s="703"/>
      <c r="X7" s="534">
        <f>SUM(T7:W7)</f>
        <v>8569530</v>
      </c>
    </row>
    <row r="8" spans="2:24" ht="17">
      <c r="B8" s="9"/>
      <c r="C8" s="10" t="s">
        <v>292</v>
      </c>
      <c r="D8" s="10" t="s">
        <v>290</v>
      </c>
      <c r="E8" s="446">
        <f>32925+10260</f>
        <v>43185</v>
      </c>
      <c r="F8" s="446">
        <v>0</v>
      </c>
      <c r="G8" s="536">
        <v>33429</v>
      </c>
      <c r="H8" s="719"/>
      <c r="I8" s="534">
        <f>SUM(E8:H8)</f>
        <v>76614</v>
      </c>
      <c r="J8" s="535">
        <v>36161</v>
      </c>
      <c r="K8" s="535">
        <v>64966.83</v>
      </c>
      <c r="L8" s="535">
        <v>21267</v>
      </c>
      <c r="M8" s="703"/>
      <c r="N8" s="534">
        <f>SUM(J8:M8)</f>
        <v>122394.83</v>
      </c>
      <c r="O8" s="77">
        <v>0</v>
      </c>
      <c r="P8" s="77">
        <v>40826</v>
      </c>
      <c r="Q8" s="77">
        <v>0</v>
      </c>
      <c r="R8" s="703"/>
      <c r="S8" s="534">
        <f>SUM(O8:R8)</f>
        <v>40826</v>
      </c>
      <c r="T8" s="77">
        <v>0</v>
      </c>
      <c r="U8" s="77">
        <v>36242</v>
      </c>
      <c r="V8" s="77">
        <v>0</v>
      </c>
      <c r="W8" s="703"/>
      <c r="X8" s="534">
        <f>SUM(T8:W8)</f>
        <v>36242</v>
      </c>
    </row>
    <row r="9" spans="2:24" ht="18">
      <c r="B9" s="13"/>
      <c r="C9" s="14" t="s">
        <v>293</v>
      </c>
      <c r="D9" s="14" t="s">
        <v>294</v>
      </c>
      <c r="E9" s="537">
        <f>SUM(E6:E8)</f>
        <v>12440130</v>
      </c>
      <c r="F9" s="537">
        <f>SUM(F6:F8)</f>
        <v>236179</v>
      </c>
      <c r="G9" s="538">
        <f>SUM(G7:G8)</f>
        <v>720127</v>
      </c>
      <c r="H9" s="719"/>
      <c r="I9" s="539">
        <f>SUM(I6:I8)</f>
        <v>13396436</v>
      </c>
      <c r="J9" s="540">
        <f>SUM(J6:J8)</f>
        <v>9502410</v>
      </c>
      <c r="K9" s="540">
        <f>SUM(K6:K8)</f>
        <v>201290.83000000002</v>
      </c>
      <c r="L9" s="540">
        <f>SUM(L6:L8)</f>
        <v>21267</v>
      </c>
      <c r="M9" s="704"/>
      <c r="N9" s="539">
        <f>SUM(N6:N8)</f>
        <v>9724967.8300000001</v>
      </c>
      <c r="O9" s="537">
        <f>SUM(O6:O8)</f>
        <v>8810174</v>
      </c>
      <c r="P9" s="537">
        <f>SUM(P6:P8)</f>
        <v>165489</v>
      </c>
      <c r="Q9" s="537">
        <f>SUM(Q6:Q8)</f>
        <v>0</v>
      </c>
      <c r="R9" s="704"/>
      <c r="S9" s="539">
        <f>SUM(S6:S8)</f>
        <v>8975663</v>
      </c>
      <c r="T9" s="537">
        <f>SUM(T6:T8)</f>
        <v>8553427</v>
      </c>
      <c r="U9" s="537">
        <f>SUM(U6:U8)</f>
        <v>86810</v>
      </c>
      <c r="V9" s="537">
        <f>SUM(V6:V8)</f>
        <v>0</v>
      </c>
      <c r="W9" s="704"/>
      <c r="X9" s="539">
        <f>SUM(X6:X8)</f>
        <v>8640237</v>
      </c>
    </row>
    <row r="10" spans="2:24" s="172" customFormat="1" ht="30">
      <c r="B10" s="182"/>
      <c r="C10" s="183" t="s">
        <v>295</v>
      </c>
      <c r="D10" s="174" t="s">
        <v>296</v>
      </c>
      <c r="E10" s="541">
        <v>0</v>
      </c>
      <c r="F10" s="537">
        <f>+F9</f>
        <v>236179</v>
      </c>
      <c r="G10" s="542">
        <f>+G9</f>
        <v>720127</v>
      </c>
      <c r="H10" s="712"/>
      <c r="I10" s="460">
        <f>SUM(E10:H10)</f>
        <v>956306</v>
      </c>
      <c r="J10" s="544">
        <v>0</v>
      </c>
      <c r="K10" s="544">
        <f>+K9</f>
        <v>201290.83000000002</v>
      </c>
      <c r="L10" s="544">
        <f>+L9</f>
        <v>21267</v>
      </c>
      <c r="M10" s="543"/>
      <c r="N10" s="460">
        <f>SUM(J10:M10)</f>
        <v>222557.83000000002</v>
      </c>
      <c r="O10" s="545">
        <v>0</v>
      </c>
      <c r="P10" s="545">
        <f>+P9</f>
        <v>165489</v>
      </c>
      <c r="Q10" s="545">
        <f>+Q9</f>
        <v>0</v>
      </c>
      <c r="R10" s="543"/>
      <c r="S10" s="460">
        <f>SUM(O10:R10)</f>
        <v>165489</v>
      </c>
      <c r="T10" s="545">
        <v>0</v>
      </c>
      <c r="U10" s="545">
        <f>+U9</f>
        <v>86810</v>
      </c>
      <c r="V10" s="545">
        <f>+V9</f>
        <v>0</v>
      </c>
      <c r="W10" s="543"/>
      <c r="X10" s="460">
        <f>SUM(T10:W10)</f>
        <v>86810</v>
      </c>
    </row>
    <row r="11" spans="2:24" ht="17" thickBot="1">
      <c r="B11" s="285"/>
      <c r="C11" s="286"/>
      <c r="D11" s="286"/>
      <c r="E11" s="306"/>
      <c r="F11" s="306"/>
      <c r="G11" s="306"/>
      <c r="H11" s="552"/>
      <c r="I11" s="306"/>
      <c r="J11" s="553"/>
      <c r="K11" s="553"/>
      <c r="L11" s="553"/>
      <c r="M11" s="552"/>
      <c r="N11" s="306"/>
      <c r="O11" s="306"/>
      <c r="P11" s="306"/>
      <c r="Q11" s="306"/>
      <c r="R11" s="552"/>
      <c r="S11" s="306"/>
      <c r="T11" s="306"/>
      <c r="U11" s="306"/>
      <c r="V11" s="306"/>
      <c r="W11" s="552"/>
      <c r="X11" s="306"/>
    </row>
    <row r="12" spans="2:24" ht="16">
      <c r="B12" s="30" t="s">
        <v>297</v>
      </c>
      <c r="C12" s="8"/>
      <c r="D12" s="8"/>
      <c r="E12" s="546"/>
      <c r="F12" s="546"/>
      <c r="G12" s="546"/>
      <c r="H12" s="547"/>
      <c r="I12" s="548"/>
      <c r="J12" s="549"/>
      <c r="K12" s="549"/>
      <c r="L12" s="549"/>
      <c r="M12" s="547"/>
      <c r="N12" s="548"/>
      <c r="O12" s="550"/>
      <c r="P12" s="550"/>
      <c r="Q12" s="550"/>
      <c r="R12" s="547"/>
      <c r="S12" s="548"/>
      <c r="T12" s="550"/>
      <c r="U12" s="550"/>
      <c r="V12" s="550"/>
      <c r="W12" s="547"/>
      <c r="X12" s="548"/>
    </row>
    <row r="13" spans="2:24" ht="17">
      <c r="B13" s="9"/>
      <c r="C13" s="10" t="s">
        <v>298</v>
      </c>
      <c r="D13" s="10" t="s">
        <v>290</v>
      </c>
      <c r="E13" s="446">
        <f>SUM(E6:E8)</f>
        <v>12440130</v>
      </c>
      <c r="F13" s="446">
        <f>SUM(F6:F8)</f>
        <v>236179</v>
      </c>
      <c r="G13" s="446">
        <f>+G9</f>
        <v>720127</v>
      </c>
      <c r="H13" s="710" t="s">
        <v>26</v>
      </c>
      <c r="I13" s="534">
        <f>SUM(E13:H13)</f>
        <v>13396436</v>
      </c>
      <c r="J13" s="535">
        <f>SUM(J6:J8)</f>
        <v>9502410</v>
      </c>
      <c r="K13" s="535">
        <f>SUM(K6:K8)</f>
        <v>201290.83000000002</v>
      </c>
      <c r="L13" s="535">
        <f>L8</f>
        <v>21267</v>
      </c>
      <c r="M13" s="701" t="s">
        <v>26</v>
      </c>
      <c r="N13" s="534">
        <f>SUM(J13:M13)</f>
        <v>9724967.8300000001</v>
      </c>
      <c r="O13" s="446">
        <f>SUM(O6:O8)</f>
        <v>8810174</v>
      </c>
      <c r="P13" s="446">
        <f>SUM(P6:P8)</f>
        <v>165489</v>
      </c>
      <c r="Q13" s="446">
        <f>Q8</f>
        <v>0</v>
      </c>
      <c r="R13" s="701" t="s">
        <v>26</v>
      </c>
      <c r="S13" s="534">
        <f>SUM(O13:R13)</f>
        <v>8975663</v>
      </c>
      <c r="T13" s="77">
        <f>+T9</f>
        <v>8553427</v>
      </c>
      <c r="U13" s="77">
        <f>+U9</f>
        <v>86810</v>
      </c>
      <c r="V13" s="77">
        <f>+V9</f>
        <v>0</v>
      </c>
      <c r="W13" s="701" t="s">
        <v>26</v>
      </c>
      <c r="X13" s="534">
        <f>SUM(T13:W13)</f>
        <v>8640237</v>
      </c>
    </row>
    <row r="14" spans="2:24" ht="17">
      <c r="B14" s="9"/>
      <c r="C14" s="10" t="s">
        <v>299</v>
      </c>
      <c r="D14" s="10" t="s">
        <v>290</v>
      </c>
      <c r="E14" s="27">
        <v>0</v>
      </c>
      <c r="F14" s="27">
        <v>0</v>
      </c>
      <c r="G14" s="27">
        <v>0</v>
      </c>
      <c r="H14" s="713"/>
      <c r="I14" s="534">
        <f>SUM(E14:H14)</f>
        <v>0</v>
      </c>
      <c r="J14" s="551">
        <v>0</v>
      </c>
      <c r="K14" s="551">
        <v>0</v>
      </c>
      <c r="L14" s="551">
        <v>0</v>
      </c>
      <c r="M14" s="704"/>
      <c r="N14" s="534">
        <f>SUM(J14:M14)</f>
        <v>0</v>
      </c>
      <c r="O14" s="551">
        <v>0</v>
      </c>
      <c r="P14" s="551">
        <v>0</v>
      </c>
      <c r="Q14" s="551">
        <v>0</v>
      </c>
      <c r="R14" s="704"/>
      <c r="S14" s="534">
        <f>SUM(N14:R14)</f>
        <v>0</v>
      </c>
      <c r="T14" s="551">
        <v>0</v>
      </c>
      <c r="U14" s="551">
        <v>0</v>
      </c>
      <c r="V14" s="551">
        <v>0</v>
      </c>
      <c r="W14" s="704"/>
      <c r="X14" s="534">
        <f>SUM(S14:W14)</f>
        <v>0</v>
      </c>
    </row>
    <row r="15" spans="2:24" ht="17" thickBot="1">
      <c r="B15" s="285"/>
      <c r="C15" s="286"/>
      <c r="D15" s="286"/>
      <c r="E15" s="306"/>
      <c r="F15" s="306"/>
      <c r="G15" s="306"/>
      <c r="H15" s="552"/>
      <c r="I15" s="306"/>
      <c r="J15" s="553"/>
      <c r="K15" s="553"/>
      <c r="L15" s="553"/>
      <c r="M15" s="552"/>
      <c r="N15" s="306"/>
      <c r="O15" s="306"/>
      <c r="P15" s="306"/>
      <c r="Q15" s="306"/>
      <c r="R15" s="552"/>
      <c r="S15" s="306"/>
      <c r="T15" s="306"/>
      <c r="U15" s="306"/>
      <c r="V15" s="306"/>
      <c r="W15" s="552"/>
      <c r="X15" s="306"/>
    </row>
    <row r="16" spans="2:24" ht="16">
      <c r="B16" s="168" t="s">
        <v>300</v>
      </c>
      <c r="C16" s="8"/>
      <c r="D16" s="8"/>
      <c r="E16" s="455"/>
      <c r="F16" s="455"/>
      <c r="G16" s="455"/>
      <c r="H16" s="554"/>
      <c r="I16" s="441"/>
      <c r="J16" s="533"/>
      <c r="K16" s="533"/>
      <c r="L16" s="533"/>
      <c r="M16" s="554"/>
      <c r="N16" s="441"/>
      <c r="O16" s="59"/>
      <c r="P16" s="59"/>
      <c r="Q16" s="59"/>
      <c r="R16" s="554"/>
      <c r="S16" s="59"/>
      <c r="T16" s="59"/>
      <c r="U16" s="59"/>
      <c r="V16" s="59"/>
      <c r="W16" s="554"/>
      <c r="X16" s="59"/>
    </row>
    <row r="17" spans="2:24" ht="30">
      <c r="B17" s="9"/>
      <c r="C17" s="10" t="s">
        <v>289</v>
      </c>
      <c r="D17" s="10" t="s">
        <v>290</v>
      </c>
      <c r="E17" s="27">
        <v>42369</v>
      </c>
      <c r="F17" s="27">
        <v>0</v>
      </c>
      <c r="G17" s="27">
        <v>0</v>
      </c>
      <c r="H17" s="652" t="s">
        <v>26</v>
      </c>
      <c r="I17" s="93">
        <f t="shared" ref="I17:I22" si="0">SUM(E17:H17)</f>
        <v>42369</v>
      </c>
      <c r="J17" s="551">
        <v>60547</v>
      </c>
      <c r="K17" s="551">
        <v>0</v>
      </c>
      <c r="L17" s="551">
        <v>0</v>
      </c>
      <c r="M17" s="705" t="s">
        <v>26</v>
      </c>
      <c r="N17" s="93">
        <f t="shared" ref="N17:N22" si="1">SUM(J17:M17)</f>
        <v>60547</v>
      </c>
      <c r="O17" s="77">
        <v>85950</v>
      </c>
      <c r="P17" s="77">
        <v>0</v>
      </c>
      <c r="Q17" s="77">
        <v>0</v>
      </c>
      <c r="R17" s="705" t="s">
        <v>26</v>
      </c>
      <c r="S17" s="93">
        <f t="shared" ref="S17:S22" si="2">SUM(O17:R17)</f>
        <v>85950</v>
      </c>
      <c r="T17" s="29">
        <v>34465</v>
      </c>
      <c r="U17" s="29">
        <v>0</v>
      </c>
      <c r="V17" s="29">
        <v>0</v>
      </c>
      <c r="W17" s="705" t="s">
        <v>26</v>
      </c>
      <c r="X17" s="93">
        <f t="shared" ref="X17:X22" si="3">SUM(T17:W17)</f>
        <v>34465</v>
      </c>
    </row>
    <row r="18" spans="2:24" ht="17">
      <c r="B18" s="9"/>
      <c r="C18" s="10" t="s">
        <v>291</v>
      </c>
      <c r="D18" s="10" t="s">
        <v>290</v>
      </c>
      <c r="E18" s="27">
        <f>7049+65778</f>
        <v>72827</v>
      </c>
      <c r="F18" s="27">
        <v>236179</v>
      </c>
      <c r="G18" s="555">
        <f>60793</f>
        <v>60793</v>
      </c>
      <c r="H18" s="714"/>
      <c r="I18" s="93">
        <f t="shared" si="0"/>
        <v>369799</v>
      </c>
      <c r="J18" s="551">
        <v>23080</v>
      </c>
      <c r="K18" s="551">
        <f>K7</f>
        <v>136324</v>
      </c>
      <c r="L18" s="551">
        <v>0</v>
      </c>
      <c r="M18" s="697"/>
      <c r="N18" s="93">
        <f t="shared" si="1"/>
        <v>159404</v>
      </c>
      <c r="O18" s="77">
        <v>73103</v>
      </c>
      <c r="P18" s="77">
        <v>124663</v>
      </c>
      <c r="Q18" s="77">
        <v>0</v>
      </c>
      <c r="R18" s="697"/>
      <c r="S18" s="93">
        <f t="shared" si="2"/>
        <v>197766</v>
      </c>
      <c r="T18" s="29">
        <v>62923</v>
      </c>
      <c r="U18" s="29">
        <v>50568</v>
      </c>
      <c r="V18" s="29">
        <v>0</v>
      </c>
      <c r="W18" s="697"/>
      <c r="X18" s="93">
        <f t="shared" si="3"/>
        <v>113491</v>
      </c>
    </row>
    <row r="19" spans="2:24" ht="17">
      <c r="B19" s="9"/>
      <c r="C19" s="10" t="s">
        <v>301</v>
      </c>
      <c r="D19" s="10" t="s">
        <v>290</v>
      </c>
      <c r="E19" s="27">
        <v>0</v>
      </c>
      <c r="F19" s="27">
        <v>8751</v>
      </c>
      <c r="G19" s="555">
        <v>0</v>
      </c>
      <c r="H19" s="714"/>
      <c r="I19" s="93">
        <f t="shared" si="0"/>
        <v>8751</v>
      </c>
      <c r="J19" s="551">
        <v>0</v>
      </c>
      <c r="K19" s="551">
        <v>13417</v>
      </c>
      <c r="L19" s="551">
        <v>0</v>
      </c>
      <c r="M19" s="697"/>
      <c r="N19" s="93">
        <f t="shared" si="1"/>
        <v>13417</v>
      </c>
      <c r="O19" s="77"/>
      <c r="P19" s="77">
        <v>40826</v>
      </c>
      <c r="Q19" s="77">
        <v>0</v>
      </c>
      <c r="R19" s="697"/>
      <c r="S19" s="93">
        <f t="shared" si="2"/>
        <v>40826</v>
      </c>
      <c r="T19" s="29"/>
      <c r="U19" s="29">
        <v>36242</v>
      </c>
      <c r="V19" s="29">
        <v>0</v>
      </c>
      <c r="W19" s="697"/>
      <c r="X19" s="93">
        <f t="shared" si="3"/>
        <v>36242</v>
      </c>
    </row>
    <row r="20" spans="2:24" ht="17">
      <c r="B20" s="9"/>
      <c r="C20" s="10" t="s">
        <v>302</v>
      </c>
      <c r="D20" s="10" t="s">
        <v>290</v>
      </c>
      <c r="E20" s="384">
        <v>0</v>
      </c>
      <c r="F20" s="384">
        <v>0</v>
      </c>
      <c r="G20" s="385">
        <v>0</v>
      </c>
      <c r="H20" s="714"/>
      <c r="I20" s="93">
        <f t="shared" si="0"/>
        <v>0</v>
      </c>
      <c r="J20" s="551">
        <v>0</v>
      </c>
      <c r="K20" s="551">
        <v>0</v>
      </c>
      <c r="L20" s="551">
        <v>0</v>
      </c>
      <c r="M20" s="697"/>
      <c r="N20" s="93">
        <f t="shared" si="1"/>
        <v>0</v>
      </c>
      <c r="O20" s="77">
        <v>0</v>
      </c>
      <c r="P20" s="77">
        <v>0</v>
      </c>
      <c r="Q20" s="77">
        <v>0</v>
      </c>
      <c r="R20" s="697"/>
      <c r="S20" s="93">
        <f t="shared" si="2"/>
        <v>0</v>
      </c>
      <c r="T20" s="29">
        <v>3805</v>
      </c>
      <c r="U20" s="29"/>
      <c r="V20" s="29">
        <v>0</v>
      </c>
      <c r="W20" s="697"/>
      <c r="X20" s="93">
        <f t="shared" si="3"/>
        <v>3805</v>
      </c>
    </row>
    <row r="21" spans="2:24" ht="17">
      <c r="B21" s="9"/>
      <c r="C21" s="10" t="s">
        <v>303</v>
      </c>
      <c r="D21" s="10" t="s">
        <v>290</v>
      </c>
      <c r="E21" s="27">
        <v>1736512</v>
      </c>
      <c r="F21" s="555">
        <v>1008068</v>
      </c>
      <c r="G21" s="555">
        <f>510195+261374</f>
        <v>771569</v>
      </c>
      <c r="H21" s="714"/>
      <c r="I21" s="93">
        <f t="shared" si="0"/>
        <v>3516149</v>
      </c>
      <c r="J21" s="551">
        <v>1713116</v>
      </c>
      <c r="K21" s="551">
        <v>837343</v>
      </c>
      <c r="L21" s="551">
        <f>18436</f>
        <v>18436</v>
      </c>
      <c r="M21" s="697"/>
      <c r="N21" s="93">
        <f t="shared" si="1"/>
        <v>2568895</v>
      </c>
      <c r="O21" s="77">
        <v>1848378</v>
      </c>
      <c r="P21" s="77">
        <v>1116327</v>
      </c>
      <c r="Q21" s="77">
        <v>5720</v>
      </c>
      <c r="R21" s="697"/>
      <c r="S21" s="93">
        <f t="shared" si="2"/>
        <v>2970425</v>
      </c>
      <c r="T21" s="29">
        <v>1922080</v>
      </c>
      <c r="U21" s="29">
        <v>1294933</v>
      </c>
      <c r="V21" s="29">
        <v>0</v>
      </c>
      <c r="W21" s="697"/>
      <c r="X21" s="93">
        <f t="shared" si="3"/>
        <v>3217013</v>
      </c>
    </row>
    <row r="22" spans="2:24" ht="17">
      <c r="B22" s="9"/>
      <c r="C22" s="10" t="s">
        <v>292</v>
      </c>
      <c r="D22" s="10" t="s">
        <v>290</v>
      </c>
      <c r="E22" s="27">
        <f>32925+10260</f>
        <v>43185</v>
      </c>
      <c r="F22" s="27">
        <v>0</v>
      </c>
      <c r="G22" s="555">
        <v>33429</v>
      </c>
      <c r="H22" s="714"/>
      <c r="I22" s="93">
        <f t="shared" si="0"/>
        <v>76614</v>
      </c>
      <c r="J22" s="551">
        <v>36161</v>
      </c>
      <c r="K22" s="551">
        <f>K8</f>
        <v>64966.83</v>
      </c>
      <c r="L22" s="551">
        <v>21267</v>
      </c>
      <c r="M22" s="697"/>
      <c r="N22" s="93">
        <f t="shared" si="1"/>
        <v>122394.83</v>
      </c>
      <c r="O22" s="77"/>
      <c r="P22" s="77">
        <v>20952</v>
      </c>
      <c r="Q22" s="77">
        <v>10480</v>
      </c>
      <c r="R22" s="697"/>
      <c r="S22" s="93">
        <f t="shared" si="2"/>
        <v>31432</v>
      </c>
      <c r="T22" s="29"/>
      <c r="U22" s="29"/>
      <c r="V22" s="29">
        <v>7760</v>
      </c>
      <c r="W22" s="697"/>
      <c r="X22" s="93">
        <f t="shared" si="3"/>
        <v>7760</v>
      </c>
    </row>
    <row r="23" spans="2:24" ht="18">
      <c r="B23" s="13"/>
      <c r="C23" s="14" t="s">
        <v>304</v>
      </c>
      <c r="D23" s="14" t="s">
        <v>294</v>
      </c>
      <c r="E23" s="537">
        <f>SUM(E17:E22)</f>
        <v>1894893</v>
      </c>
      <c r="F23" s="537">
        <f>SUM(F17:F22)</f>
        <v>1252998</v>
      </c>
      <c r="G23" s="537">
        <f>SUM(G17:G22)</f>
        <v>865791</v>
      </c>
      <c r="H23" s="714"/>
      <c r="I23" s="460">
        <f>SUM(I17:I22)</f>
        <v>4013682</v>
      </c>
      <c r="J23" s="540">
        <f>SUM(J17:J22)</f>
        <v>1832904</v>
      </c>
      <c r="K23" s="540">
        <f>SUM(K17:K22)</f>
        <v>1052050.83</v>
      </c>
      <c r="L23" s="540">
        <f>SUM(L17:L22)</f>
        <v>39703</v>
      </c>
      <c r="M23" s="697"/>
      <c r="N23" s="460">
        <f>SUM(N17:N22)</f>
        <v>2924657.83</v>
      </c>
      <c r="O23" s="556">
        <f>SUM(O17:O22)</f>
        <v>2007431</v>
      </c>
      <c r="P23" s="556">
        <f>SUM(P17:P22)</f>
        <v>1302768</v>
      </c>
      <c r="Q23" s="556">
        <f>SUM(Q17:Q22)</f>
        <v>16200</v>
      </c>
      <c r="R23" s="697"/>
      <c r="S23" s="460">
        <f>SUM(S17:S22)</f>
        <v>3326399</v>
      </c>
      <c r="T23" s="556">
        <f>SUM(T17:T22)</f>
        <v>2023273</v>
      </c>
      <c r="U23" s="556">
        <f>SUM(U17:U22)</f>
        <v>1381743</v>
      </c>
      <c r="V23" s="556">
        <f>SUM(V17:V22)</f>
        <v>7760</v>
      </c>
      <c r="W23" s="697"/>
      <c r="X23" s="460">
        <f>SUM(X17:X22)</f>
        <v>3412776</v>
      </c>
    </row>
    <row r="24" spans="2:24" ht="16">
      <c r="B24" s="9"/>
      <c r="C24" s="10" t="s">
        <v>305</v>
      </c>
      <c r="D24" s="10" t="s">
        <v>306</v>
      </c>
      <c r="E24" s="557">
        <f>(E21+E20)/E23</f>
        <v>0.91641691641691647</v>
      </c>
      <c r="F24" s="558">
        <f>(F21+F20)/F23</f>
        <v>0.8045248276533562</v>
      </c>
      <c r="G24" s="558">
        <f>(G21+G20)/G23</f>
        <v>0.89117234990892724</v>
      </c>
      <c r="H24" s="711"/>
      <c r="I24" s="461">
        <f>(I21+I20)/I23</f>
        <v>0.87604075260571213</v>
      </c>
      <c r="J24" s="559">
        <f>(J21+J20)/J23</f>
        <v>0.93464578614046345</v>
      </c>
      <c r="K24" s="559">
        <f>(K21+K20)/K23</f>
        <v>0.79591496543945495</v>
      </c>
      <c r="L24" s="559">
        <f>(L21+L20)/L23</f>
        <v>0.46434778228345464</v>
      </c>
      <c r="M24" s="698"/>
      <c r="N24" s="461">
        <f>(N21+N20)/N23</f>
        <v>0.87835745216048056</v>
      </c>
      <c r="O24" s="558">
        <f>(O21+O20)/O23</f>
        <v>0.92076788691616296</v>
      </c>
      <c r="P24" s="558">
        <f>(P21+P20)/P23</f>
        <v>0.856888563428024</v>
      </c>
      <c r="Q24" s="558">
        <f>(Q21+Q20)/Q23</f>
        <v>0.35308641975308641</v>
      </c>
      <c r="R24" s="698"/>
      <c r="S24" s="461">
        <f>(S21+S20)/S23</f>
        <v>0.89298517706384595</v>
      </c>
      <c r="T24" s="558">
        <f>(T21+T20)/T23</f>
        <v>0.95186611001085863</v>
      </c>
      <c r="U24" s="558">
        <f>(U21+U20)/U23</f>
        <v>0.93717355542962766</v>
      </c>
      <c r="V24" s="101" t="s">
        <v>26</v>
      </c>
      <c r="W24" s="698"/>
      <c r="X24" s="560">
        <f>(X21+X20)/X23</f>
        <v>0.94375312062672734</v>
      </c>
    </row>
    <row r="25" spans="2:24" ht="17" thickBot="1">
      <c r="B25" s="285"/>
      <c r="C25" s="286"/>
      <c r="D25" s="286"/>
      <c r="E25" s="561"/>
      <c r="F25" s="561"/>
      <c r="G25" s="561"/>
      <c r="H25" s="306"/>
      <c r="I25" s="562"/>
      <c r="J25" s="553"/>
      <c r="K25" s="553"/>
      <c r="L25" s="553"/>
      <c r="M25" s="553"/>
      <c r="N25" s="563"/>
      <c r="O25" s="306"/>
      <c r="P25" s="306"/>
      <c r="Q25" s="306"/>
      <c r="R25" s="543"/>
      <c r="S25" s="564"/>
      <c r="T25" s="306"/>
      <c r="U25" s="306"/>
      <c r="V25" s="306"/>
      <c r="W25" s="543"/>
      <c r="X25" s="306"/>
    </row>
    <row r="26" spans="2:24" ht="16">
      <c r="B26" s="7" t="s">
        <v>307</v>
      </c>
      <c r="C26" s="8"/>
      <c r="D26" s="8"/>
      <c r="E26" s="455"/>
      <c r="F26" s="455"/>
      <c r="G26" s="455"/>
      <c r="H26" s="543"/>
      <c r="I26" s="441"/>
      <c r="J26" s="533"/>
      <c r="K26" s="533"/>
      <c r="L26" s="533"/>
      <c r="M26" s="543"/>
      <c r="N26" s="441"/>
      <c r="O26" s="59"/>
      <c r="P26" s="59"/>
      <c r="Q26" s="59"/>
      <c r="R26" s="543"/>
      <c r="S26" s="59"/>
      <c r="T26" s="59"/>
      <c r="U26" s="59"/>
      <c r="V26" s="59"/>
      <c r="W26" s="543"/>
      <c r="X26" s="59"/>
    </row>
    <row r="27" spans="2:24" s="172" customFormat="1" ht="16">
      <c r="B27" s="186"/>
      <c r="C27" s="174" t="s">
        <v>281</v>
      </c>
      <c r="D27" s="174" t="s">
        <v>308</v>
      </c>
      <c r="E27" s="565">
        <f>+Business!$D$29</f>
        <v>402992</v>
      </c>
      <c r="F27" s="565">
        <f>+Business!$E$29</f>
        <v>393940</v>
      </c>
      <c r="G27" s="565">
        <f>+Business!$G$29</f>
        <v>338252</v>
      </c>
      <c r="H27" s="716" t="s">
        <v>26</v>
      </c>
      <c r="I27" s="566">
        <f>SUM(E27:H27)</f>
        <v>1135184</v>
      </c>
      <c r="J27" s="565">
        <f>+Business!$M$29</f>
        <v>353793</v>
      </c>
      <c r="K27" s="565">
        <f>+Business!$N$29</f>
        <v>427646</v>
      </c>
      <c r="L27" s="567"/>
      <c r="M27" s="567"/>
      <c r="N27" s="566">
        <f>SUM(J27:M27)</f>
        <v>781439</v>
      </c>
      <c r="O27" s="568">
        <f>+Business!$U$29</f>
        <v>433409</v>
      </c>
      <c r="P27" s="568">
        <f>+Business!$V$29</f>
        <v>440973</v>
      </c>
      <c r="Q27" s="565" t="s">
        <v>93</v>
      </c>
      <c r="R27" s="565"/>
      <c r="S27" s="566">
        <f>SUM(O27:Q27)</f>
        <v>874382</v>
      </c>
      <c r="T27" s="569">
        <f>+Business!$AC$29</f>
        <v>412303</v>
      </c>
      <c r="U27" s="569">
        <f>+Business!$AD$29</f>
        <v>422239</v>
      </c>
      <c r="V27" s="569"/>
      <c r="W27" s="569"/>
      <c r="X27" s="570">
        <f>T27+U27</f>
        <v>834542</v>
      </c>
    </row>
    <row r="28" spans="2:24" ht="17">
      <c r="B28" s="9"/>
      <c r="C28" s="10" t="s">
        <v>309</v>
      </c>
      <c r="D28" s="10" t="s">
        <v>310</v>
      </c>
      <c r="E28" s="571">
        <f>+E23/Business!D29</f>
        <v>4.7020610830984237</v>
      </c>
      <c r="F28" s="571">
        <v>3.48</v>
      </c>
      <c r="G28" s="571">
        <f>G23/G27</f>
        <v>2.55960349088845</v>
      </c>
      <c r="H28" s="717"/>
      <c r="I28" s="572">
        <f>I23/I27</f>
        <v>3.5357105103666013</v>
      </c>
      <c r="J28" s="573">
        <f>+J23/Business!M29</f>
        <v>5.1807243218492172</v>
      </c>
      <c r="K28" s="573">
        <f>+K23/Business!N29</f>
        <v>2.4600974404063174</v>
      </c>
      <c r="L28" s="699" t="s">
        <v>26</v>
      </c>
      <c r="M28" s="699" t="s">
        <v>26</v>
      </c>
      <c r="N28" s="574">
        <f>(N23-(L23))/Business!T29</f>
        <v>3.691849050277757</v>
      </c>
      <c r="O28" s="105">
        <f>O23/Business!U29</f>
        <v>4.6317243066018472</v>
      </c>
      <c r="P28" s="105">
        <f>P23/Business!V29</f>
        <v>2.9543033246933486</v>
      </c>
      <c r="Q28" s="101" t="s">
        <v>26</v>
      </c>
      <c r="R28" s="699" t="s">
        <v>26</v>
      </c>
      <c r="S28" s="560">
        <f>(S23-Q23)/Business!AB29</f>
        <v>3.7857583985031713</v>
      </c>
      <c r="T28" s="105">
        <f>T23/Business!AC29</f>
        <v>4.9072478250218889</v>
      </c>
      <c r="U28" s="105">
        <f>U23/Business!AD29</f>
        <v>3.2724191749222595</v>
      </c>
      <c r="V28" s="699" t="s">
        <v>26</v>
      </c>
      <c r="W28" s="699" t="s">
        <v>26</v>
      </c>
      <c r="X28" s="560">
        <f>X23/Business!AJ29</f>
        <v>4.0893999343352405</v>
      </c>
    </row>
    <row r="29" spans="2:24" ht="17">
      <c r="B29" s="9"/>
      <c r="C29" s="10" t="s">
        <v>311</v>
      </c>
      <c r="D29" s="10" t="s">
        <v>312</v>
      </c>
      <c r="E29" s="571">
        <f>+E23/Business!D35</f>
        <v>0.37785817493966889</v>
      </c>
      <c r="F29" s="571">
        <f>+F23/Business!E35</f>
        <v>0.68471444957449823</v>
      </c>
      <c r="G29" s="571">
        <f>+G23/Business!G35</f>
        <v>0.86249454584577745</v>
      </c>
      <c r="H29" s="717"/>
      <c r="I29" s="572">
        <f>+I23/Business!L35</f>
        <v>0.31331881419338953</v>
      </c>
      <c r="J29" s="575">
        <f>+J23/Business!M35</f>
        <v>0.35767072158627566</v>
      </c>
      <c r="K29" s="575">
        <f>+K23/Business!N35</f>
        <v>0.42575448588785153</v>
      </c>
      <c r="L29" s="697"/>
      <c r="M29" s="697"/>
      <c r="N29" s="576">
        <f>N23/Business!T35</f>
        <v>0.3850471313331536</v>
      </c>
      <c r="O29" s="105">
        <f>O23/Business!U35</f>
        <v>0.31855706699703584</v>
      </c>
      <c r="P29" s="105">
        <f>P23/Business!V35</f>
        <v>0.54288650359669055</v>
      </c>
      <c r="Q29" s="101" t="s">
        <v>26</v>
      </c>
      <c r="R29" s="697"/>
      <c r="S29" s="560">
        <f>S23/Business!AB35</f>
        <v>0.38228570003504059</v>
      </c>
      <c r="T29" s="105">
        <f>T23/Business!AC35</f>
        <v>0.30658656992587002</v>
      </c>
      <c r="U29" s="105">
        <f>U23/Business!AD35</f>
        <v>0.58352309103470879</v>
      </c>
      <c r="V29" s="697"/>
      <c r="W29" s="697"/>
      <c r="X29" s="560">
        <f>X23/Business!AJ35</f>
        <v>0.38058074433900563</v>
      </c>
    </row>
    <row r="30" spans="2:24" ht="17">
      <c r="B30" s="9"/>
      <c r="C30" s="10" t="s">
        <v>313</v>
      </c>
      <c r="D30" s="10" t="s">
        <v>310</v>
      </c>
      <c r="E30" s="571">
        <f>SUM(E17:E18,E22)/Business!D29</f>
        <v>0.39301276452138006</v>
      </c>
      <c r="F30" s="571">
        <f>SUM(F17:F18,F22)/Business!E29</f>
        <v>0.59953038533786873</v>
      </c>
      <c r="G30" s="571">
        <f>SUM(G17:G18,G22)/Business!G29</f>
        <v>0.27855563307829667</v>
      </c>
      <c r="H30" s="717"/>
      <c r="I30" s="577">
        <f>SUM(I17:I18,I22)/Business!L29</f>
        <v>0.2598795620166291</v>
      </c>
      <c r="J30" s="573">
        <f>SUM(J17:J18,J22)/Business!M29</f>
        <v>0.33858216527743623</v>
      </c>
      <c r="K30" s="573">
        <f>SUM(K17:K18,K22)/Business!N29</f>
        <v>0.4706949907166208</v>
      </c>
      <c r="L30" s="697"/>
      <c r="M30" s="697"/>
      <c r="N30" s="560">
        <f>(N17+N18)/Business!T29</f>
        <v>0.28146918697428719</v>
      </c>
      <c r="O30" s="105">
        <f>(O17+O18)/Business!U29</f>
        <v>0.36698130403383411</v>
      </c>
      <c r="P30" s="105">
        <f>(P17+P18)/Business!V29</f>
        <v>0.28269984783648888</v>
      </c>
      <c r="Q30" s="105" t="s">
        <v>26</v>
      </c>
      <c r="R30" s="697"/>
      <c r="S30" s="560">
        <f>(S17+S18)/Business!AB29</f>
        <v>0.32447602992742303</v>
      </c>
      <c r="T30" s="105">
        <f>(T17+T18)/Business!AC29</f>
        <v>0.23620492695905682</v>
      </c>
      <c r="U30" s="105">
        <f>(U17+U18)/Business!AD29</f>
        <v>0.11976155684339912</v>
      </c>
      <c r="V30" s="697"/>
      <c r="W30" s="697"/>
      <c r="X30" s="560">
        <f>(X17+X18)/Business!AJ29</f>
        <v>0.17729005849915283</v>
      </c>
    </row>
    <row r="31" spans="2:24" ht="17">
      <c r="B31" s="9"/>
      <c r="C31" s="10" t="s">
        <v>314</v>
      </c>
      <c r="D31" s="10" t="s">
        <v>312</v>
      </c>
      <c r="E31" s="571">
        <f>SUM(E17:E18,E22)/Business!D35</f>
        <v>3.1582551418533764E-2</v>
      </c>
      <c r="F31" s="571">
        <f>SUM(F17:F18,F22)/Business!E35</f>
        <v>0.12906259545989332</v>
      </c>
      <c r="G31" s="571">
        <f>SUM(G17:G18,G22)/Business!G35</f>
        <v>9.3863254640763005E-2</v>
      </c>
      <c r="H31" s="718"/>
      <c r="I31" s="578">
        <f>SUM(I17:I18,I22)/Business!L30</f>
        <v>6.7543987776409561E-2</v>
      </c>
      <c r="J31" s="573">
        <f>SUM(J17:J18,J22)/Business!M35</f>
        <v>2.3375288829844219E-2</v>
      </c>
      <c r="K31" s="575">
        <f>SUM(K17:K18,K22)/Business!N35</f>
        <v>8.1460392784052954E-2</v>
      </c>
      <c r="L31" s="698"/>
      <c r="M31" s="698"/>
      <c r="N31" s="560">
        <f>(N17+N18)/Business!T35</f>
        <v>2.8957747027746648E-2</v>
      </c>
      <c r="O31" s="105">
        <f>(O17+O18)/Business!U35</f>
        <v>2.5239949555964585E-2</v>
      </c>
      <c r="P31" s="105">
        <f>(P17+P18)/Business!V35</f>
        <v>5.194928045352222E-2</v>
      </c>
      <c r="Q31" s="101" t="s">
        <v>26</v>
      </c>
      <c r="R31" s="698"/>
      <c r="S31" s="560">
        <f>(S17+S18)/Business!AB35</f>
        <v>3.2606001165567201E-2</v>
      </c>
      <c r="T31" s="105">
        <f>(T17+T18)/Business!AC35</f>
        <v>1.4757204228960021E-2</v>
      </c>
      <c r="U31" s="105">
        <f>(U17+U18)/Business!AD35</f>
        <v>2.1355342974375954E-2</v>
      </c>
      <c r="V31" s="698"/>
      <c r="W31" s="698"/>
      <c r="X31" s="560">
        <f>(X17+X18)/Business!AJ35</f>
        <v>1.649953135202015E-2</v>
      </c>
    </row>
    <row r="32" spans="2:24" ht="15" customHeight="1" thickBot="1">
      <c r="B32" s="285"/>
      <c r="C32" s="286"/>
      <c r="D32" s="286"/>
      <c r="E32" s="306"/>
      <c r="F32" s="306"/>
      <c r="G32" s="306"/>
      <c r="H32" s="552"/>
      <c r="I32" s="579"/>
      <c r="J32" s="553"/>
      <c r="K32" s="553"/>
      <c r="L32" s="553"/>
      <c r="M32" s="552"/>
      <c r="N32" s="579"/>
      <c r="O32" s="306"/>
      <c r="P32" s="306"/>
      <c r="Q32" s="306"/>
      <c r="R32" s="552"/>
      <c r="S32" s="306"/>
      <c r="T32" s="306"/>
      <c r="U32" s="306"/>
      <c r="V32" s="306"/>
      <c r="W32" s="552"/>
      <c r="X32" s="306"/>
    </row>
    <row r="33" spans="2:24" ht="16">
      <c r="B33" s="7" t="s">
        <v>315</v>
      </c>
      <c r="C33" s="8"/>
      <c r="D33" s="8"/>
      <c r="E33" s="455"/>
      <c r="F33" s="455"/>
      <c r="G33" s="455"/>
      <c r="H33" s="580"/>
      <c r="I33" s="581"/>
      <c r="J33" s="533"/>
      <c r="K33" s="533"/>
      <c r="L33" s="533"/>
      <c r="M33" s="580"/>
      <c r="N33" s="581"/>
      <c r="O33" s="59"/>
      <c r="P33" s="59"/>
      <c r="Q33" s="59"/>
      <c r="R33" s="554"/>
      <c r="S33" s="59"/>
      <c r="T33" s="58"/>
      <c r="U33" s="59"/>
      <c r="V33" s="59"/>
      <c r="W33" s="554"/>
      <c r="X33" s="59"/>
    </row>
    <row r="34" spans="2:24" ht="30">
      <c r="B34" s="9"/>
      <c r="C34" s="10" t="s">
        <v>289</v>
      </c>
      <c r="D34" s="10" t="s">
        <v>290</v>
      </c>
      <c r="E34" s="27">
        <v>0</v>
      </c>
      <c r="F34" s="27">
        <v>0</v>
      </c>
      <c r="G34" s="27">
        <v>0</v>
      </c>
      <c r="H34" s="715" t="s">
        <v>26</v>
      </c>
      <c r="I34" s="28">
        <f>SUM(E34:H34)</f>
        <v>0</v>
      </c>
      <c r="J34" s="551">
        <v>0</v>
      </c>
      <c r="K34" s="551">
        <v>0</v>
      </c>
      <c r="L34" s="551">
        <v>0</v>
      </c>
      <c r="M34" s="700" t="s">
        <v>26</v>
      </c>
      <c r="N34" s="28">
        <f>SUM(J34:M34)</f>
        <v>0</v>
      </c>
      <c r="O34" s="29">
        <v>0</v>
      </c>
      <c r="P34" s="29">
        <v>0</v>
      </c>
      <c r="Q34" s="29">
        <v>0</v>
      </c>
      <c r="R34" s="700" t="s">
        <v>26</v>
      </c>
      <c r="S34" s="28">
        <f>SUM(O34:R34)</f>
        <v>0</v>
      </c>
      <c r="T34" s="29">
        <v>0</v>
      </c>
      <c r="U34" s="29">
        <v>0</v>
      </c>
      <c r="V34" s="29">
        <v>0</v>
      </c>
      <c r="W34" s="700" t="s">
        <v>26</v>
      </c>
      <c r="X34" s="28">
        <v>0</v>
      </c>
    </row>
    <row r="35" spans="2:24" ht="17">
      <c r="B35" s="9"/>
      <c r="C35" s="10" t="s">
        <v>291</v>
      </c>
      <c r="D35" s="10" t="s">
        <v>290</v>
      </c>
      <c r="E35" s="27">
        <v>12281749</v>
      </c>
      <c r="F35" s="27">
        <v>0</v>
      </c>
      <c r="G35" s="27">
        <v>625905</v>
      </c>
      <c r="H35" s="714"/>
      <c r="I35" s="28">
        <f>SUM(E35:H35)</f>
        <v>12907654</v>
      </c>
      <c r="J35" s="551">
        <f>J7-J18</f>
        <v>9382622</v>
      </c>
      <c r="K35" s="551">
        <v>0</v>
      </c>
      <c r="L35" s="551">
        <v>0</v>
      </c>
      <c r="M35" s="697"/>
      <c r="N35" s="28">
        <f>SUM(J35:M35)</f>
        <v>9382622</v>
      </c>
      <c r="O35" s="33">
        <v>8651121</v>
      </c>
      <c r="P35" s="29">
        <v>0</v>
      </c>
      <c r="Q35" s="29">
        <v>0</v>
      </c>
      <c r="R35" s="697"/>
      <c r="S35" s="566">
        <f>SUM(O35:R35)</f>
        <v>8651121</v>
      </c>
      <c r="T35" s="29">
        <v>8456039</v>
      </c>
      <c r="U35" s="29">
        <v>0</v>
      </c>
      <c r="V35" s="29">
        <v>0</v>
      </c>
      <c r="W35" s="703"/>
      <c r="X35" s="28">
        <f>SUM(T35:V35)</f>
        <v>8456039</v>
      </c>
    </row>
    <row r="36" spans="2:24" ht="17">
      <c r="B36" s="9"/>
      <c r="C36" s="174" t="s">
        <v>316</v>
      </c>
      <c r="D36" s="10" t="s">
        <v>290</v>
      </c>
      <c r="E36" s="27">
        <v>450</v>
      </c>
      <c r="F36" s="27">
        <v>501.8</v>
      </c>
      <c r="G36" s="27">
        <v>3123</v>
      </c>
      <c r="H36" s="714"/>
      <c r="I36" s="28">
        <f>SUM(E36:H36)</f>
        <v>4074.8</v>
      </c>
      <c r="J36" s="551">
        <v>300</v>
      </c>
      <c r="K36" s="551">
        <v>313.67</v>
      </c>
      <c r="L36" s="551">
        <v>1975</v>
      </c>
      <c r="M36" s="697"/>
      <c r="N36" s="28">
        <f>SUM(J36:M36)</f>
        <v>2588.67</v>
      </c>
      <c r="O36" s="27">
        <v>550</v>
      </c>
      <c r="P36" s="27">
        <v>404</v>
      </c>
      <c r="Q36" s="27">
        <v>4438</v>
      </c>
      <c r="R36" s="697"/>
      <c r="S36" s="28">
        <f>SUM(O36:R36)</f>
        <v>5392</v>
      </c>
      <c r="T36" s="27">
        <v>120</v>
      </c>
      <c r="U36" s="27">
        <v>239</v>
      </c>
      <c r="V36" s="29">
        <v>5184</v>
      </c>
      <c r="W36" s="703"/>
      <c r="X36" s="28">
        <f>SUM(T36:V36)</f>
        <v>5543</v>
      </c>
    </row>
    <row r="37" spans="2:24" ht="18">
      <c r="B37" s="13"/>
      <c r="C37" s="14" t="s">
        <v>317</v>
      </c>
      <c r="D37" s="14" t="s">
        <v>294</v>
      </c>
      <c r="E37" s="582">
        <f>SUM(E34:E36)</f>
        <v>12282199</v>
      </c>
      <c r="F37" s="582">
        <f>SUM(F34:F36)</f>
        <v>501.8</v>
      </c>
      <c r="G37" s="582">
        <f>SUM(G34:G36)</f>
        <v>629028</v>
      </c>
      <c r="H37" s="711"/>
      <c r="I37" s="583">
        <f>SUM(E37:H37)</f>
        <v>12911728.800000001</v>
      </c>
      <c r="J37" s="545">
        <f>SUM(J34:J36)</f>
        <v>9382922</v>
      </c>
      <c r="K37" s="545">
        <f>SUM(K34:K36)</f>
        <v>313.67</v>
      </c>
      <c r="L37" s="545">
        <f>SUM(L34:L36)</f>
        <v>1975</v>
      </c>
      <c r="M37" s="698"/>
      <c r="N37" s="583">
        <f>SUM(J37:M37)</f>
        <v>9385210.6699999999</v>
      </c>
      <c r="O37" s="582">
        <f>SUM(O34:O36)</f>
        <v>8651671</v>
      </c>
      <c r="P37" s="582">
        <f>SUM(P34:P36)</f>
        <v>404</v>
      </c>
      <c r="Q37" s="582">
        <f>SUM(Q34:Q36)</f>
        <v>4438</v>
      </c>
      <c r="R37" s="698"/>
      <c r="S37" s="583">
        <f>SUM(O37:R37)</f>
        <v>8656513</v>
      </c>
      <c r="T37" s="582">
        <f>SUM(T34:T36)</f>
        <v>8456159</v>
      </c>
      <c r="U37" s="582">
        <f>SUM(U34:U36)</f>
        <v>239</v>
      </c>
      <c r="V37" s="508">
        <v>5184</v>
      </c>
      <c r="W37" s="704"/>
      <c r="X37" s="583">
        <f>SUM(T37:W37)</f>
        <v>8461582</v>
      </c>
    </row>
    <row r="38" spans="2:24" ht="17" thickBot="1">
      <c r="B38" s="285"/>
      <c r="C38" s="286"/>
      <c r="D38" s="286"/>
      <c r="E38" s="306"/>
      <c r="F38" s="306"/>
      <c r="G38" s="306"/>
      <c r="H38" s="552"/>
      <c r="I38" s="579"/>
      <c r="J38" s="553"/>
      <c r="K38" s="553"/>
      <c r="L38" s="553"/>
      <c r="M38" s="552"/>
      <c r="N38" s="579"/>
      <c r="O38" s="306"/>
      <c r="P38" s="306"/>
      <c r="Q38" s="306"/>
      <c r="R38" s="552"/>
      <c r="S38" s="306"/>
      <c r="T38" s="306"/>
      <c r="U38" s="306"/>
      <c r="V38" s="306"/>
      <c r="W38" s="552"/>
      <c r="X38" s="306"/>
    </row>
    <row r="39" spans="2:24" ht="16">
      <c r="B39" s="30" t="s">
        <v>318</v>
      </c>
      <c r="C39" s="8"/>
      <c r="D39" s="8"/>
      <c r="E39" s="584"/>
      <c r="F39" s="584"/>
      <c r="G39" s="584"/>
      <c r="H39" s="598"/>
      <c r="I39" s="554"/>
      <c r="J39" s="585"/>
      <c r="K39" s="585"/>
      <c r="L39" s="585"/>
      <c r="M39" s="554"/>
      <c r="N39" s="554"/>
      <c r="O39" s="586"/>
      <c r="P39" s="586"/>
      <c r="Q39" s="586"/>
      <c r="R39" s="554"/>
      <c r="S39" s="554"/>
      <c r="T39" s="554"/>
      <c r="U39" s="554"/>
      <c r="V39" s="554"/>
      <c r="W39" s="554"/>
      <c r="X39" s="554"/>
    </row>
    <row r="40" spans="2:24" ht="17">
      <c r="B40" s="9"/>
      <c r="C40" s="10" t="s">
        <v>298</v>
      </c>
      <c r="D40" s="10" t="s">
        <v>290</v>
      </c>
      <c r="E40" s="446">
        <f>SUM(E35:E36)</f>
        <v>12282199</v>
      </c>
      <c r="F40" s="446">
        <f>SUM(F35:F36)</f>
        <v>501.8</v>
      </c>
      <c r="G40" s="446">
        <f>SUM(G35:G36)</f>
        <v>629028</v>
      </c>
      <c r="H40" s="710" t="s">
        <v>26</v>
      </c>
      <c r="I40" s="534">
        <f>SUM(E40:H40)</f>
        <v>12911728.800000001</v>
      </c>
      <c r="J40" s="535">
        <f>SUM(J35:J36)</f>
        <v>9382922</v>
      </c>
      <c r="K40" s="535">
        <f>SUM(K35:K36)</f>
        <v>313.67</v>
      </c>
      <c r="L40" s="535">
        <f>SUM(L35:L36)</f>
        <v>1975</v>
      </c>
      <c r="M40" s="701" t="s">
        <v>26</v>
      </c>
      <c r="N40" s="534">
        <f>SUM(J40:M40)</f>
        <v>9385210.6699999999</v>
      </c>
      <c r="O40" s="27">
        <f>SUM(O35:O36)</f>
        <v>8651671</v>
      </c>
      <c r="P40" s="27">
        <f>SUM(P35:P36)</f>
        <v>404</v>
      </c>
      <c r="Q40" s="27">
        <f>SUM(Q35:Q36)</f>
        <v>4438</v>
      </c>
      <c r="R40" s="701" t="s">
        <v>26</v>
      </c>
      <c r="S40" s="534">
        <f>SUM(O40:R40)</f>
        <v>8656513</v>
      </c>
      <c r="T40" s="446">
        <f>SUM(T35:T36)</f>
        <v>8456159</v>
      </c>
      <c r="U40" s="446">
        <f>SUM(U35:U36)</f>
        <v>239</v>
      </c>
      <c r="V40" s="446">
        <f>SUM(V35:V36)</f>
        <v>5184</v>
      </c>
      <c r="W40" s="701" t="s">
        <v>26</v>
      </c>
      <c r="X40" s="534">
        <f>SUM(T40:W40)</f>
        <v>8461582</v>
      </c>
    </row>
    <row r="41" spans="2:24" ht="17">
      <c r="B41" s="9"/>
      <c r="C41" s="10" t="s">
        <v>299</v>
      </c>
      <c r="D41" s="10" t="s">
        <v>290</v>
      </c>
      <c r="E41" s="446">
        <v>0</v>
      </c>
      <c r="F41" s="446">
        <v>0</v>
      </c>
      <c r="G41" s="446">
        <v>0</v>
      </c>
      <c r="H41" s="711"/>
      <c r="I41" s="534">
        <f>SUM(E41:H41)</f>
        <v>0</v>
      </c>
      <c r="J41" s="535">
        <v>0</v>
      </c>
      <c r="K41" s="535">
        <v>0</v>
      </c>
      <c r="L41" s="535">
        <v>0</v>
      </c>
      <c r="M41" s="698"/>
      <c r="N41" s="534">
        <f>SUM(J41:M41)</f>
        <v>0</v>
      </c>
      <c r="O41" s="27">
        <v>0</v>
      </c>
      <c r="P41" s="27">
        <v>0</v>
      </c>
      <c r="Q41" s="27">
        <v>0</v>
      </c>
      <c r="R41" s="698"/>
      <c r="S41" s="534">
        <f>SUM(O41:R41)</f>
        <v>0</v>
      </c>
      <c r="T41" s="446">
        <v>0</v>
      </c>
      <c r="U41" s="446">
        <v>0</v>
      </c>
      <c r="V41" s="446">
        <v>0</v>
      </c>
      <c r="W41" s="704"/>
      <c r="X41" s="534">
        <f>SUM(T41:W41)</f>
        <v>0</v>
      </c>
    </row>
    <row r="42" spans="2:24" ht="15" customHeight="1" thickBot="1">
      <c r="B42" s="285"/>
      <c r="C42" s="286"/>
      <c r="D42" s="286"/>
      <c r="E42" s="306"/>
      <c r="F42" s="306"/>
      <c r="G42" s="306"/>
      <c r="H42" s="552"/>
      <c r="I42" s="579"/>
      <c r="J42" s="553"/>
      <c r="K42" s="553"/>
      <c r="L42" s="553"/>
      <c r="M42" s="552"/>
      <c r="N42" s="579"/>
      <c r="O42" s="306"/>
      <c r="P42" s="306"/>
      <c r="Q42" s="306"/>
      <c r="R42" s="552"/>
      <c r="S42" s="306"/>
      <c r="T42" s="306"/>
      <c r="U42" s="306"/>
      <c r="V42" s="306"/>
      <c r="W42" s="552"/>
      <c r="X42" s="306"/>
    </row>
    <row r="43" spans="2:24" ht="16">
      <c r="B43" s="30" t="s">
        <v>319</v>
      </c>
      <c r="C43" s="8"/>
      <c r="D43" s="8"/>
      <c r="E43" s="546"/>
      <c r="F43" s="546"/>
      <c r="G43" s="546"/>
      <c r="H43" s="599"/>
      <c r="I43" s="547"/>
      <c r="J43" s="549"/>
      <c r="K43" s="549"/>
      <c r="L43" s="549"/>
      <c r="M43" s="547"/>
      <c r="N43" s="547"/>
      <c r="O43" s="547"/>
      <c r="P43" s="587"/>
      <c r="Q43" s="587"/>
      <c r="R43" s="547"/>
      <c r="S43" s="547"/>
      <c r="T43" s="547"/>
      <c r="U43" s="547"/>
      <c r="V43" s="547"/>
      <c r="W43" s="547"/>
      <c r="X43" s="547"/>
    </row>
    <row r="44" spans="2:24" ht="17">
      <c r="B44" s="9"/>
      <c r="C44" s="10" t="s">
        <v>298</v>
      </c>
      <c r="D44" s="10" t="s">
        <v>290</v>
      </c>
      <c r="E44" s="446">
        <f>E40</f>
        <v>12282199</v>
      </c>
      <c r="F44" s="446">
        <f>F36</f>
        <v>501.8</v>
      </c>
      <c r="G44" s="446">
        <f>G40</f>
        <v>629028</v>
      </c>
      <c r="H44" s="710" t="s">
        <v>26</v>
      </c>
      <c r="I44" s="534">
        <f>SUM(E44:H44)</f>
        <v>12911728.800000001</v>
      </c>
      <c r="J44" s="535">
        <f>J40</f>
        <v>9382922</v>
      </c>
      <c r="K44" s="535">
        <f>K36</f>
        <v>313.67</v>
      </c>
      <c r="L44" s="535">
        <f>L40</f>
        <v>1975</v>
      </c>
      <c r="M44" s="701" t="s">
        <v>26</v>
      </c>
      <c r="N44" s="534">
        <f>SUM(J44:M44)</f>
        <v>9385210.6699999999</v>
      </c>
      <c r="O44" s="27">
        <f>O40</f>
        <v>8651671</v>
      </c>
      <c r="P44" s="27">
        <f>P36</f>
        <v>404</v>
      </c>
      <c r="Q44" s="27">
        <f>Q40</f>
        <v>4438</v>
      </c>
      <c r="R44" s="701" t="s">
        <v>26</v>
      </c>
      <c r="S44" s="534">
        <f>SUM(O44:R44)</f>
        <v>8656513</v>
      </c>
      <c r="T44" s="446">
        <f>T40</f>
        <v>8456159</v>
      </c>
      <c r="U44" s="446">
        <f>U36</f>
        <v>239</v>
      </c>
      <c r="V44" s="446">
        <f>V40</f>
        <v>5184</v>
      </c>
      <c r="W44" s="701" t="s">
        <v>26</v>
      </c>
      <c r="X44" s="534">
        <f>SUM(T44:W44)</f>
        <v>8461582</v>
      </c>
    </row>
    <row r="45" spans="2:24" ht="30">
      <c r="B45" s="9"/>
      <c r="C45" s="10" t="s">
        <v>320</v>
      </c>
      <c r="D45" s="10" t="s">
        <v>290</v>
      </c>
      <c r="E45" s="446">
        <v>0</v>
      </c>
      <c r="F45" s="446">
        <v>0</v>
      </c>
      <c r="G45" s="446">
        <v>0</v>
      </c>
      <c r="H45" s="712"/>
      <c r="I45" s="534">
        <f>SUM(E45:H45)</f>
        <v>0</v>
      </c>
      <c r="J45" s="535">
        <v>0</v>
      </c>
      <c r="K45" s="535">
        <v>0</v>
      </c>
      <c r="L45" s="535">
        <v>0</v>
      </c>
      <c r="M45" s="702"/>
      <c r="N45" s="534">
        <f>SUM(J45:M45)</f>
        <v>0</v>
      </c>
      <c r="O45" s="27">
        <v>0</v>
      </c>
      <c r="P45" s="27">
        <v>0</v>
      </c>
      <c r="Q45" s="27">
        <v>0</v>
      </c>
      <c r="R45" s="702"/>
      <c r="S45" s="534">
        <f>SUM(O45:R45)</f>
        <v>0</v>
      </c>
      <c r="T45" s="446">
        <v>0</v>
      </c>
      <c r="U45" s="446">
        <v>0</v>
      </c>
      <c r="V45" s="446">
        <v>0</v>
      </c>
      <c r="W45" s="702"/>
      <c r="X45" s="534">
        <f>SUM(T45:W45)</f>
        <v>0</v>
      </c>
    </row>
    <row r="46" spans="2:24" ht="15" customHeight="1" thickBot="1">
      <c r="B46" s="285"/>
      <c r="C46" s="286"/>
      <c r="D46" s="286"/>
      <c r="E46" s="306"/>
      <c r="F46" s="306"/>
      <c r="G46" s="306"/>
      <c r="H46" s="552"/>
      <c r="I46" s="306"/>
      <c r="J46" s="553"/>
      <c r="K46" s="553"/>
      <c r="L46" s="553"/>
      <c r="M46" s="552"/>
      <c r="N46" s="306"/>
      <c r="O46" s="306"/>
      <c r="P46" s="306"/>
      <c r="Q46" s="306"/>
      <c r="R46" s="552"/>
      <c r="S46" s="306"/>
      <c r="T46" s="306"/>
      <c r="U46" s="306"/>
      <c r="V46" s="306"/>
      <c r="W46" s="552"/>
      <c r="X46" s="306"/>
    </row>
    <row r="47" spans="2:24" ht="16">
      <c r="B47" s="30" t="s">
        <v>321</v>
      </c>
      <c r="C47" s="8"/>
      <c r="D47" s="8"/>
      <c r="E47" s="455"/>
      <c r="F47" s="455"/>
      <c r="G47" s="455"/>
      <c r="H47" s="598"/>
      <c r="I47" s="441"/>
      <c r="J47" s="533"/>
      <c r="K47" s="533"/>
      <c r="L47" s="533"/>
      <c r="M47" s="554"/>
      <c r="N47" s="441"/>
      <c r="O47" s="59"/>
      <c r="P47" s="59"/>
      <c r="Q47" s="59"/>
      <c r="R47" s="554"/>
      <c r="S47" s="59"/>
      <c r="T47" s="59"/>
      <c r="U47" s="59"/>
      <c r="V47" s="59"/>
      <c r="W47" s="59"/>
      <c r="X47" s="59"/>
    </row>
    <row r="48" spans="2:24" ht="30">
      <c r="B48" s="9"/>
      <c r="C48" s="10" t="s">
        <v>322</v>
      </c>
      <c r="D48" s="10" t="s">
        <v>323</v>
      </c>
      <c r="E48" s="384">
        <v>0</v>
      </c>
      <c r="F48" s="384">
        <v>0</v>
      </c>
      <c r="G48" s="384">
        <v>0</v>
      </c>
      <c r="H48" s="110" t="s">
        <v>26</v>
      </c>
      <c r="I48" s="28">
        <v>0</v>
      </c>
      <c r="J48" s="588">
        <v>0</v>
      </c>
      <c r="K48" s="588">
        <v>0</v>
      </c>
      <c r="L48" s="588">
        <v>0</v>
      </c>
      <c r="M48" s="543" t="s">
        <v>26</v>
      </c>
      <c r="N48" s="28">
        <f>SUM(J48:M48)</f>
        <v>0</v>
      </c>
      <c r="O48" s="588">
        <v>0</v>
      </c>
      <c r="P48" s="588">
        <v>0</v>
      </c>
      <c r="Q48" s="588">
        <v>0</v>
      </c>
      <c r="R48" s="543" t="s">
        <v>26</v>
      </c>
      <c r="S48" s="28">
        <f>SUM(O48:R48)</f>
        <v>0</v>
      </c>
      <c r="T48" s="588">
        <v>0</v>
      </c>
      <c r="U48" s="588">
        <v>0</v>
      </c>
      <c r="V48" s="588">
        <v>0</v>
      </c>
      <c r="W48" s="33"/>
      <c r="X48" s="28">
        <f>SUM(T48:W48)</f>
        <v>0</v>
      </c>
    </row>
    <row r="49" spans="2:24" ht="15" customHeight="1" thickBot="1">
      <c r="B49" s="285"/>
      <c r="C49" s="286"/>
      <c r="D49" s="286"/>
      <c r="E49" s="306"/>
      <c r="F49" s="306"/>
      <c r="G49" s="306"/>
      <c r="H49" s="552"/>
      <c r="I49" s="306"/>
      <c r="J49" s="553"/>
      <c r="K49" s="553"/>
      <c r="L49" s="553"/>
      <c r="M49" s="552"/>
      <c r="N49" s="306"/>
      <c r="O49" s="306"/>
      <c r="P49" s="306"/>
      <c r="Q49" s="306"/>
      <c r="R49" s="552"/>
      <c r="S49" s="306"/>
      <c r="T49" s="306"/>
      <c r="U49" s="306"/>
      <c r="V49" s="306"/>
      <c r="W49" s="552"/>
      <c r="X49" s="306"/>
    </row>
    <row r="50" spans="2:24" ht="16">
      <c r="B50" s="7" t="s">
        <v>324</v>
      </c>
      <c r="C50" s="8"/>
      <c r="D50" s="8"/>
      <c r="E50" s="455"/>
      <c r="F50" s="455"/>
      <c r="G50" s="455"/>
      <c r="H50" s="600"/>
      <c r="I50" s="441"/>
      <c r="J50" s="533"/>
      <c r="K50" s="533"/>
      <c r="L50" s="533"/>
      <c r="M50" s="441"/>
      <c r="N50" s="441"/>
      <c r="O50" s="59"/>
      <c r="P50" s="59"/>
      <c r="Q50" s="59"/>
      <c r="R50" s="59"/>
      <c r="S50" s="59"/>
      <c r="T50" s="59"/>
      <c r="U50" s="59"/>
      <c r="V50" s="59"/>
      <c r="W50" s="59"/>
      <c r="X50" s="59"/>
    </row>
    <row r="51" spans="2:24" ht="16">
      <c r="B51" s="9"/>
      <c r="C51" s="174" t="s">
        <v>325</v>
      </c>
      <c r="D51" s="10" t="s">
        <v>326</v>
      </c>
      <c r="E51" s="112">
        <v>67.31</v>
      </c>
      <c r="F51" s="589">
        <f>+K51</f>
        <v>36.840000000000003</v>
      </c>
      <c r="G51" s="385">
        <f>102.4-24.33</f>
        <v>78.070000000000007</v>
      </c>
      <c r="H51" s="706" t="s">
        <v>26</v>
      </c>
      <c r="I51" s="590">
        <f>SUM(E51:H51)</f>
        <v>182.22000000000003</v>
      </c>
      <c r="J51" s="591">
        <v>67.61</v>
      </c>
      <c r="K51" s="591">
        <v>36.840000000000003</v>
      </c>
      <c r="L51" s="591">
        <f>78.07-L53</f>
        <v>29.309999999999995</v>
      </c>
      <c r="M51" s="112" t="s">
        <v>26</v>
      </c>
      <c r="N51" s="590">
        <f>SUM(J51:M51)</f>
        <v>133.76</v>
      </c>
      <c r="O51" s="112">
        <v>67.61</v>
      </c>
      <c r="P51" s="112">
        <v>36.840000000000003</v>
      </c>
      <c r="Q51" s="112">
        <v>13.45</v>
      </c>
      <c r="R51" s="112" t="s">
        <v>26</v>
      </c>
      <c r="S51" s="590">
        <f>SUM(O51:R51)</f>
        <v>117.9</v>
      </c>
      <c r="T51" s="112">
        <f>67.61-T53</f>
        <v>62.03</v>
      </c>
      <c r="U51" s="112">
        <v>36.840000000000003</v>
      </c>
      <c r="V51" s="112">
        <v>5.72</v>
      </c>
      <c r="W51" s="696" t="s">
        <v>263</v>
      </c>
      <c r="X51" s="590">
        <f>SUM(T51:W51)</f>
        <v>104.59</v>
      </c>
    </row>
    <row r="52" spans="2:24" ht="16">
      <c r="B52" s="9"/>
      <c r="C52" s="10" t="s">
        <v>327</v>
      </c>
      <c r="D52" s="10" t="s">
        <v>326</v>
      </c>
      <c r="E52" s="112">
        <v>1.0468999999999999</v>
      </c>
      <c r="F52" s="112">
        <v>0</v>
      </c>
      <c r="G52" s="385">
        <v>0.68</v>
      </c>
      <c r="H52" s="707"/>
      <c r="I52" s="590">
        <f>SUM(E52:H52)</f>
        <v>1.7269000000000001</v>
      </c>
      <c r="J52" s="591">
        <v>1.02</v>
      </c>
      <c r="K52" s="591">
        <v>0</v>
      </c>
      <c r="L52" s="591">
        <v>0</v>
      </c>
      <c r="M52" s="112">
        <v>35.1</v>
      </c>
      <c r="N52" s="590">
        <f>SUM(J52:M52)</f>
        <v>36.120000000000005</v>
      </c>
      <c r="O52" s="112">
        <v>1.01</v>
      </c>
      <c r="P52" s="112">
        <v>0</v>
      </c>
      <c r="Q52" s="112">
        <v>0</v>
      </c>
      <c r="R52" s="592">
        <v>29.3</v>
      </c>
      <c r="S52" s="590">
        <f>SUM(O52:R52)</f>
        <v>30.310000000000002</v>
      </c>
      <c r="T52" s="112">
        <v>0</v>
      </c>
      <c r="U52" s="112">
        <v>0</v>
      </c>
      <c r="V52" s="112">
        <v>0</v>
      </c>
      <c r="W52" s="697"/>
      <c r="X52" s="590">
        <f>SUM(T52:W52)</f>
        <v>0</v>
      </c>
    </row>
    <row r="53" spans="2:24" ht="16">
      <c r="B53" s="9"/>
      <c r="C53" s="10" t="s">
        <v>328</v>
      </c>
      <c r="D53" s="10" t="s">
        <v>326</v>
      </c>
      <c r="E53" s="112">
        <v>3.16</v>
      </c>
      <c r="F53" s="112">
        <v>0</v>
      </c>
      <c r="G53" s="385">
        <f>0.29+24.33</f>
        <v>24.619999999999997</v>
      </c>
      <c r="H53" s="707"/>
      <c r="I53" s="590">
        <f>SUM(E53:H53)</f>
        <v>27.779999999999998</v>
      </c>
      <c r="J53" s="591">
        <v>0.72</v>
      </c>
      <c r="K53" s="591">
        <v>0</v>
      </c>
      <c r="L53" s="591">
        <v>48.76</v>
      </c>
      <c r="M53" s="112" t="s">
        <v>26</v>
      </c>
      <c r="N53" s="590">
        <f>SUM(J53:M53)</f>
        <v>49.48</v>
      </c>
      <c r="O53" s="112">
        <v>0</v>
      </c>
      <c r="P53" s="112">
        <v>0</v>
      </c>
      <c r="Q53" s="112">
        <v>15.86</v>
      </c>
      <c r="R53" s="112" t="s">
        <v>26</v>
      </c>
      <c r="S53" s="590">
        <f>SUM(O53:R53)</f>
        <v>15.86</v>
      </c>
      <c r="T53" s="112">
        <v>5.58</v>
      </c>
      <c r="U53" s="112">
        <v>0</v>
      </c>
      <c r="V53" s="112">
        <v>7.72</v>
      </c>
      <c r="W53" s="697"/>
      <c r="X53" s="590">
        <f>SUM(T53:W53)</f>
        <v>13.3</v>
      </c>
    </row>
    <row r="54" spans="2:24" ht="30">
      <c r="B54" s="9"/>
      <c r="C54" s="10" t="s">
        <v>329</v>
      </c>
      <c r="D54" s="10" t="s">
        <v>326</v>
      </c>
      <c r="E54" s="112">
        <f>E51-J52-E52</f>
        <v>65.243100000000013</v>
      </c>
      <c r="F54" s="589">
        <f>F51-K52-F52</f>
        <v>36.840000000000003</v>
      </c>
      <c r="G54" s="112">
        <f>+G51-G52+G53</f>
        <v>102.00999999999999</v>
      </c>
      <c r="H54" s="708"/>
      <c r="I54" s="590">
        <f>SUM(E54:H54)</f>
        <v>204.09309999999999</v>
      </c>
      <c r="J54" s="591">
        <f>+J51-J52+J53</f>
        <v>67.31</v>
      </c>
      <c r="K54" s="591">
        <f>+K51-K52+K53</f>
        <v>36.840000000000003</v>
      </c>
      <c r="L54" s="591">
        <f>+L51-L52+L53</f>
        <v>78.069999999999993</v>
      </c>
      <c r="M54" s="112" t="s">
        <v>26</v>
      </c>
      <c r="N54" s="590">
        <f>SUM(J54:M54)</f>
        <v>182.22</v>
      </c>
      <c r="O54" s="112">
        <f>+O51-O52+O53</f>
        <v>66.599999999999994</v>
      </c>
      <c r="P54" s="112">
        <f>+P51-P52+P53</f>
        <v>36.840000000000003</v>
      </c>
      <c r="Q54" s="112">
        <f>+Q51-Q52+Q53</f>
        <v>29.31</v>
      </c>
      <c r="R54" s="112" t="s">
        <v>26</v>
      </c>
      <c r="S54" s="590">
        <f>SUM(O54:R54)</f>
        <v>132.75</v>
      </c>
      <c r="T54" s="112">
        <f>+T51-T52+T53</f>
        <v>67.61</v>
      </c>
      <c r="U54" s="112">
        <f>+U51-U52+U53</f>
        <v>36.840000000000003</v>
      </c>
      <c r="V54" s="112">
        <f>+V51-V52+V53</f>
        <v>13.44</v>
      </c>
      <c r="W54" s="698"/>
      <c r="X54" s="590">
        <f>SUM(T54:W54)</f>
        <v>117.89</v>
      </c>
    </row>
    <row r="55" spans="2:24" ht="15" customHeight="1" thickBot="1">
      <c r="B55" s="285"/>
      <c r="C55" s="286"/>
      <c r="D55" s="286"/>
      <c r="E55" s="306"/>
      <c r="F55" s="306"/>
      <c r="G55" s="306"/>
      <c r="H55" s="552"/>
      <c r="I55" s="306"/>
      <c r="J55" s="553"/>
      <c r="K55" s="553"/>
      <c r="L55" s="553"/>
      <c r="M55" s="552"/>
      <c r="N55" s="306"/>
      <c r="O55" s="306"/>
      <c r="P55" s="306"/>
      <c r="Q55" s="306"/>
      <c r="R55" s="552"/>
      <c r="S55" s="306"/>
      <c r="T55" s="306"/>
      <c r="U55" s="306"/>
      <c r="V55" s="306"/>
      <c r="W55" s="552"/>
      <c r="X55" s="306"/>
    </row>
    <row r="56" spans="2:24" ht="16">
      <c r="B56" s="7" t="s">
        <v>330</v>
      </c>
      <c r="C56" s="10"/>
      <c r="D56" s="10"/>
      <c r="E56" s="593"/>
      <c r="F56" s="593"/>
      <c r="G56" s="593"/>
      <c r="H56" s="593"/>
      <c r="I56" s="593"/>
      <c r="J56" s="594"/>
      <c r="K56" s="594"/>
      <c r="L56" s="594"/>
      <c r="M56" s="593"/>
      <c r="N56" s="593"/>
      <c r="O56" s="593"/>
      <c r="P56" s="593"/>
      <c r="Q56" s="593"/>
      <c r="R56" s="593"/>
      <c r="S56" s="593"/>
      <c r="T56" s="593"/>
      <c r="U56" s="593"/>
      <c r="V56" s="593"/>
      <c r="W56" s="593"/>
      <c r="X56" s="593"/>
    </row>
    <row r="57" spans="2:24" ht="30">
      <c r="B57" s="9"/>
      <c r="C57" s="10" t="s">
        <v>331</v>
      </c>
      <c r="D57" s="10" t="s">
        <v>326</v>
      </c>
      <c r="E57" s="112">
        <v>3.2930999999999999</v>
      </c>
      <c r="F57" s="112">
        <v>2.16</v>
      </c>
      <c r="G57" s="112">
        <v>35</v>
      </c>
      <c r="H57" s="110" t="s">
        <v>26</v>
      </c>
      <c r="I57" s="590">
        <f>SUM(E57:H57)</f>
        <v>40.453099999999999</v>
      </c>
      <c r="J57" s="591">
        <v>7.23</v>
      </c>
      <c r="K57" s="591">
        <v>2</v>
      </c>
      <c r="L57" s="591">
        <v>2.2000000000000002</v>
      </c>
      <c r="M57" s="112">
        <v>0</v>
      </c>
      <c r="N57" s="590">
        <f>SUM(J57:M57)</f>
        <v>11.43</v>
      </c>
      <c r="O57" s="592">
        <v>3.11</v>
      </c>
      <c r="P57" s="592">
        <v>1</v>
      </c>
      <c r="Q57" s="592">
        <v>4.21</v>
      </c>
      <c r="R57" s="112">
        <v>0</v>
      </c>
      <c r="S57" s="590">
        <f>SUM(O57:R57)</f>
        <v>8.32</v>
      </c>
      <c r="T57" s="112">
        <v>3.28</v>
      </c>
      <c r="U57" s="112">
        <v>5.03</v>
      </c>
      <c r="V57" s="112">
        <v>2.5</v>
      </c>
      <c r="W57" s="112" t="s">
        <v>263</v>
      </c>
      <c r="X57" s="590">
        <f>SUM(T57:W57)</f>
        <v>10.81</v>
      </c>
    </row>
    <row r="58" spans="2:24" ht="15" customHeight="1" thickBot="1">
      <c r="B58" s="285"/>
      <c r="C58" s="286"/>
      <c r="D58" s="286"/>
      <c r="E58" s="306"/>
      <c r="F58" s="306"/>
      <c r="G58" s="306"/>
      <c r="H58" s="552"/>
      <c r="I58" s="306"/>
      <c r="J58" s="553"/>
      <c r="K58" s="553"/>
      <c r="L58" s="553"/>
      <c r="M58" s="552"/>
      <c r="N58" s="306"/>
      <c r="O58" s="306"/>
      <c r="P58" s="306"/>
      <c r="Q58" s="306"/>
      <c r="R58" s="552"/>
      <c r="S58" s="306"/>
      <c r="T58" s="306"/>
      <c r="U58" s="306"/>
      <c r="V58" s="306"/>
      <c r="W58" s="552"/>
      <c r="X58" s="306"/>
    </row>
    <row r="59" spans="2:24" ht="16">
      <c r="B59" s="7" t="s">
        <v>332</v>
      </c>
      <c r="C59" s="10"/>
      <c r="D59" s="10"/>
      <c r="E59" s="593"/>
      <c r="F59" s="593"/>
      <c r="G59" s="593"/>
      <c r="H59" s="593"/>
      <c r="I59" s="593"/>
      <c r="J59" s="594"/>
      <c r="K59" s="594"/>
      <c r="L59" s="594"/>
      <c r="M59" s="593"/>
      <c r="N59" s="593"/>
      <c r="O59" s="593"/>
      <c r="P59" s="593"/>
      <c r="Q59" s="593"/>
      <c r="R59" s="593"/>
      <c r="S59" s="593"/>
      <c r="T59" s="593"/>
      <c r="U59" s="593"/>
      <c r="V59" s="593"/>
      <c r="W59" s="593"/>
      <c r="X59" s="593"/>
    </row>
    <row r="60" spans="2:24" ht="16">
      <c r="B60" s="9"/>
      <c r="C60" s="10" t="s">
        <v>333</v>
      </c>
      <c r="D60" s="10" t="s">
        <v>334</v>
      </c>
      <c r="E60" s="346">
        <v>4806</v>
      </c>
      <c r="F60" s="346">
        <v>2843</v>
      </c>
      <c r="G60" s="555">
        <v>12752</v>
      </c>
      <c r="H60" s="346">
        <v>52355</v>
      </c>
      <c r="I60" s="93">
        <f>SUM(E60:H60)</f>
        <v>72756</v>
      </c>
      <c r="J60" s="346">
        <v>4012</v>
      </c>
      <c r="K60" s="346">
        <v>2611</v>
      </c>
      <c r="L60" s="346">
        <v>2157</v>
      </c>
      <c r="M60" s="346">
        <v>43259</v>
      </c>
      <c r="N60" s="93">
        <f>SUM(J60:M60)</f>
        <v>52039</v>
      </c>
      <c r="O60" s="33">
        <v>3790</v>
      </c>
      <c r="P60" s="33">
        <v>3511</v>
      </c>
      <c r="Q60" s="33">
        <v>2110</v>
      </c>
      <c r="R60" s="33">
        <v>49169</v>
      </c>
      <c r="S60" s="93">
        <v>58580</v>
      </c>
      <c r="T60" s="33">
        <v>3770</v>
      </c>
      <c r="U60" s="33">
        <v>5541</v>
      </c>
      <c r="V60" s="33">
        <v>1699</v>
      </c>
      <c r="W60" s="33">
        <v>50895</v>
      </c>
      <c r="X60" s="93">
        <v>61905</v>
      </c>
    </row>
    <row r="61" spans="2:24" ht="16">
      <c r="B61" s="9"/>
      <c r="C61" s="10" t="s">
        <v>335</v>
      </c>
      <c r="D61" s="10" t="s">
        <v>306</v>
      </c>
      <c r="E61" s="351">
        <v>0.81340000000000001</v>
      </c>
      <c r="F61" s="351">
        <v>0.98</v>
      </c>
      <c r="G61" s="595">
        <v>0.85</v>
      </c>
      <c r="H61" s="351">
        <v>0.52</v>
      </c>
      <c r="I61" s="519">
        <f>AVERAGE(E61:H61)</f>
        <v>0.79085000000000005</v>
      </c>
      <c r="J61" s="351">
        <v>0.83</v>
      </c>
      <c r="K61" s="351">
        <v>0.85</v>
      </c>
      <c r="L61" s="351">
        <v>0.8</v>
      </c>
      <c r="M61" s="596">
        <v>0.4</v>
      </c>
      <c r="N61" s="519">
        <v>0.71666666666666679</v>
      </c>
      <c r="O61" s="92">
        <v>0.8</v>
      </c>
      <c r="P61" s="92">
        <v>0.9</v>
      </c>
      <c r="Q61" s="92">
        <v>0.80499999999999994</v>
      </c>
      <c r="R61" s="92">
        <v>0.45</v>
      </c>
      <c r="S61" s="91">
        <v>0.71666666666666679</v>
      </c>
      <c r="T61" s="92">
        <v>0.7</v>
      </c>
      <c r="U61" s="92">
        <v>0.9</v>
      </c>
      <c r="V61" s="101" t="s">
        <v>26</v>
      </c>
      <c r="W61" s="92">
        <v>0.8</v>
      </c>
      <c r="X61" s="91">
        <v>0.80000000000000016</v>
      </c>
    </row>
    <row r="62" spans="2:24" ht="16">
      <c r="B62" s="9"/>
      <c r="C62" s="10" t="s">
        <v>336</v>
      </c>
      <c r="D62" s="10" t="s">
        <v>337</v>
      </c>
      <c r="E62" s="346">
        <v>27</v>
      </c>
      <c r="F62" s="346">
        <v>5</v>
      </c>
      <c r="G62" s="385">
        <v>15</v>
      </c>
      <c r="H62" s="601" t="s">
        <v>26</v>
      </c>
      <c r="I62" s="93">
        <f>SUM(E62:H62)</f>
        <v>47</v>
      </c>
      <c r="J62" s="346">
        <v>4</v>
      </c>
      <c r="K62" s="346">
        <v>8</v>
      </c>
      <c r="L62" s="346">
        <v>12</v>
      </c>
      <c r="M62" s="58" t="s">
        <v>26</v>
      </c>
      <c r="N62" s="93">
        <f>SUM(J62:M62)</f>
        <v>24</v>
      </c>
      <c r="O62" s="33">
        <v>7</v>
      </c>
      <c r="P62" s="33">
        <v>5</v>
      </c>
      <c r="Q62" s="33">
        <v>5</v>
      </c>
      <c r="R62" s="33" t="s">
        <v>26</v>
      </c>
      <c r="S62" s="93">
        <v>17</v>
      </c>
      <c r="T62" s="33">
        <v>20</v>
      </c>
      <c r="U62" s="33">
        <v>9</v>
      </c>
      <c r="V62" s="33">
        <v>12</v>
      </c>
      <c r="W62" s="33" t="s">
        <v>26</v>
      </c>
      <c r="X62" s="93">
        <v>41</v>
      </c>
    </row>
    <row r="63" spans="2:24" ht="16">
      <c r="B63" s="9"/>
      <c r="C63" s="10" t="s">
        <v>338</v>
      </c>
      <c r="D63" s="10" t="s">
        <v>337</v>
      </c>
      <c r="E63" s="346">
        <v>5</v>
      </c>
      <c r="F63" s="346">
        <v>20</v>
      </c>
      <c r="G63" s="59">
        <v>5</v>
      </c>
      <c r="H63" s="601" t="s">
        <v>26</v>
      </c>
      <c r="I63" s="93">
        <f>SUM(E63:H63)</f>
        <v>30</v>
      </c>
      <c r="J63" s="346">
        <v>2</v>
      </c>
      <c r="K63" s="346">
        <v>7</v>
      </c>
      <c r="L63" s="346">
        <v>8</v>
      </c>
      <c r="M63" s="58" t="s">
        <v>26</v>
      </c>
      <c r="N63" s="93">
        <f>SUM(J63:M63)</f>
        <v>17</v>
      </c>
      <c r="O63" s="33">
        <v>5</v>
      </c>
      <c r="P63" s="33">
        <v>3</v>
      </c>
      <c r="Q63" s="33">
        <v>3</v>
      </c>
      <c r="R63" s="33" t="s">
        <v>26</v>
      </c>
      <c r="S63" s="93">
        <v>11</v>
      </c>
      <c r="T63" s="33">
        <v>3</v>
      </c>
      <c r="U63" s="33">
        <v>10</v>
      </c>
      <c r="V63" s="33">
        <v>30</v>
      </c>
      <c r="W63" s="33" t="s">
        <v>26</v>
      </c>
      <c r="X63" s="93">
        <v>43</v>
      </c>
    </row>
    <row r="64" spans="2:24" ht="15.75" customHeight="1">
      <c r="B64" s="602" t="s">
        <v>609</v>
      </c>
      <c r="C64" s="235"/>
    </row>
    <row r="65" spans="5:8" ht="15.75" customHeight="1">
      <c r="E65" s="597"/>
      <c r="F65" s="597"/>
      <c r="G65" s="597"/>
      <c r="H65" s="597"/>
    </row>
    <row r="66" spans="5:8" ht="15.75" customHeight="1">
      <c r="H66" s="597"/>
    </row>
    <row r="67" spans="5:8" ht="16">
      <c r="F67" s="59"/>
      <c r="G67" s="59"/>
    </row>
    <row r="68" spans="5:8" ht="16">
      <c r="F68" s="59"/>
      <c r="G68" s="59"/>
    </row>
    <row r="69" spans="5:8" ht="16">
      <c r="F69" s="59"/>
      <c r="G69" s="59"/>
    </row>
    <row r="70" spans="5:8" ht="16">
      <c r="F70" s="59"/>
      <c r="G70" s="59"/>
    </row>
    <row r="71" spans="5:8" ht="16">
      <c r="F71" s="59"/>
      <c r="G71" s="59"/>
    </row>
  </sheetData>
  <sheetProtection algorithmName="SHA-512" hashValue="pbOqDxR2SNzNQuUuMnyMnglN3rxQK0nDY2az5gHbeV6fUoaf8TpIich1Pb89cfjfA2DPfcq9djp0ScDMNx2QSw==" saltValue="a+HiMftZupv09z4BB1zNYg==" spinCount="100000" sheet="1" objects="1" scenarios="1"/>
  <mergeCells count="34">
    <mergeCell ref="H51:H54"/>
    <mergeCell ref="B2:C2"/>
    <mergeCell ref="B4:C4"/>
    <mergeCell ref="M6:M9"/>
    <mergeCell ref="R6:R9"/>
    <mergeCell ref="M13:M14"/>
    <mergeCell ref="R13:R14"/>
    <mergeCell ref="L28:L31"/>
    <mergeCell ref="H40:H41"/>
    <mergeCell ref="H44:H45"/>
    <mergeCell ref="H13:H14"/>
    <mergeCell ref="H17:H24"/>
    <mergeCell ref="H34:H37"/>
    <mergeCell ref="H27:H31"/>
    <mergeCell ref="H6:H10"/>
    <mergeCell ref="W6:W9"/>
    <mergeCell ref="R17:R24"/>
    <mergeCell ref="R28:R31"/>
    <mergeCell ref="W13:W14"/>
    <mergeCell ref="M17:M24"/>
    <mergeCell ref="W17:W24"/>
    <mergeCell ref="W51:W54"/>
    <mergeCell ref="M28:M31"/>
    <mergeCell ref="M34:M37"/>
    <mergeCell ref="M40:M41"/>
    <mergeCell ref="M44:M45"/>
    <mergeCell ref="R34:R37"/>
    <mergeCell ref="R40:R41"/>
    <mergeCell ref="R44:R45"/>
    <mergeCell ref="V28:V31"/>
    <mergeCell ref="W28:W31"/>
    <mergeCell ref="W34:W37"/>
    <mergeCell ref="W40:W41"/>
    <mergeCell ref="W44:W45"/>
  </mergeCells>
  <conditionalFormatting sqref="A27">
    <cfRule type="cellIs" dxfId="6" priority="1" operator="equal">
      <formula>"✗"</formula>
    </cfRule>
  </conditionalFormatting>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U77"/>
  <sheetViews>
    <sheetView showGridLines="0" zoomScaleNormal="100" workbookViewId="0">
      <selection activeCell="B2" sqref="B2"/>
    </sheetView>
  </sheetViews>
  <sheetFormatPr baseColWidth="10" defaultColWidth="11.1640625" defaultRowHeight="16"/>
  <cols>
    <col min="1" max="1" width="3.6640625" customWidth="1"/>
    <col min="2" max="2" width="5.6640625" customWidth="1"/>
    <col min="3" max="3" width="56" customWidth="1"/>
    <col min="4" max="4" width="13.5" customWidth="1"/>
    <col min="5" max="9" width="12.33203125" customWidth="1"/>
    <col min="10" max="12" width="12.33203125" hidden="1" customWidth="1"/>
    <col min="13" max="13" width="12.33203125" customWidth="1"/>
    <col min="14" max="16" width="12.33203125" hidden="1" customWidth="1"/>
    <col min="17" max="17" width="12.33203125" customWidth="1"/>
    <col min="18" max="20" width="12.33203125" hidden="1" customWidth="1"/>
    <col min="21" max="21" width="12.33203125" customWidth="1"/>
  </cols>
  <sheetData>
    <row r="1" spans="2:21" ht="67" customHeight="1"/>
    <row r="2" spans="2:21">
      <c r="B2" s="300" t="s">
        <v>4</v>
      </c>
      <c r="C2" s="301"/>
      <c r="D2" s="282"/>
      <c r="E2" s="282"/>
      <c r="F2" s="282"/>
      <c r="G2" s="282"/>
      <c r="H2" s="282"/>
      <c r="I2" s="282"/>
      <c r="J2" s="282"/>
      <c r="K2" s="282"/>
      <c r="L2" s="282"/>
      <c r="M2" s="282"/>
      <c r="N2" s="282"/>
      <c r="O2" s="282"/>
      <c r="P2" s="282"/>
      <c r="Q2" s="282"/>
      <c r="R2" s="282"/>
      <c r="S2" s="282"/>
      <c r="T2" s="282"/>
      <c r="U2" s="282"/>
    </row>
    <row r="3" spans="2:21">
      <c r="B3" s="4"/>
      <c r="C3" s="4"/>
      <c r="D3" s="4"/>
      <c r="E3" s="4"/>
      <c r="F3" s="4"/>
      <c r="G3" s="4"/>
      <c r="H3" s="4"/>
      <c r="I3" s="4"/>
      <c r="J3" s="4"/>
      <c r="K3" s="4"/>
      <c r="L3" s="4"/>
      <c r="M3" s="4"/>
      <c r="N3" s="4"/>
      <c r="O3" s="4"/>
      <c r="P3" s="4"/>
      <c r="Q3" s="4"/>
      <c r="R3" s="4"/>
      <c r="S3" s="4"/>
      <c r="T3" s="4"/>
      <c r="U3" s="4"/>
    </row>
    <row r="4" spans="2:21" s="231" customFormat="1">
      <c r="B4" s="645" t="s">
        <v>5</v>
      </c>
      <c r="C4" s="729"/>
      <c r="D4" s="287" t="s">
        <v>339</v>
      </c>
      <c r="E4" s="287" t="s">
        <v>19</v>
      </c>
      <c r="F4" s="287" t="s">
        <v>20</v>
      </c>
      <c r="G4" s="287" t="s">
        <v>21</v>
      </c>
      <c r="H4" s="287" t="s">
        <v>61</v>
      </c>
      <c r="I4" s="289" t="s">
        <v>6</v>
      </c>
      <c r="J4" s="287" t="s">
        <v>19</v>
      </c>
      <c r="K4" s="287" t="s">
        <v>20</v>
      </c>
      <c r="L4" s="287" t="s">
        <v>21</v>
      </c>
      <c r="M4" s="289" t="s">
        <v>7</v>
      </c>
      <c r="N4" s="287" t="s">
        <v>19</v>
      </c>
      <c r="O4" s="287" t="s">
        <v>20</v>
      </c>
      <c r="P4" s="287" t="s">
        <v>21</v>
      </c>
      <c r="Q4" s="289" t="s">
        <v>8</v>
      </c>
      <c r="R4" s="287" t="s">
        <v>19</v>
      </c>
      <c r="S4" s="287" t="s">
        <v>20</v>
      </c>
      <c r="T4" s="287" t="s">
        <v>21</v>
      </c>
      <c r="U4" s="289" t="s">
        <v>68</v>
      </c>
    </row>
    <row r="5" spans="2:21">
      <c r="B5" s="30" t="s">
        <v>340</v>
      </c>
      <c r="C5" s="10"/>
      <c r="D5" s="10"/>
      <c r="E5" s="10"/>
      <c r="F5" s="10"/>
      <c r="G5" s="10"/>
      <c r="H5" s="10"/>
      <c r="I5" s="9"/>
      <c r="J5" s="10"/>
      <c r="K5" s="10"/>
      <c r="L5" s="10"/>
      <c r="M5" s="9"/>
      <c r="N5" s="9"/>
      <c r="O5" s="9"/>
      <c r="P5" s="9"/>
      <c r="Q5" s="9"/>
      <c r="R5" s="9"/>
      <c r="S5" s="9"/>
      <c r="T5" s="9"/>
      <c r="U5" s="9"/>
    </row>
    <row r="6" spans="2:21">
      <c r="B6" s="9"/>
      <c r="C6" s="10" t="s">
        <v>282</v>
      </c>
      <c r="D6" s="10" t="s">
        <v>341</v>
      </c>
      <c r="E6" s="67">
        <v>70950.581000000006</v>
      </c>
      <c r="F6" s="67">
        <v>32213.941999999999</v>
      </c>
      <c r="G6" s="67">
        <v>1009.03</v>
      </c>
      <c r="H6" s="387">
        <v>70956.429239999998</v>
      </c>
      <c r="I6" s="34">
        <f>SUM(E6:H6)</f>
        <v>175129.98223999998</v>
      </c>
      <c r="J6" s="67">
        <v>65650</v>
      </c>
      <c r="K6" s="67">
        <v>32132.814999999999</v>
      </c>
      <c r="L6" s="67">
        <f>73614/1000</f>
        <v>73.614000000000004</v>
      </c>
      <c r="M6" s="34">
        <f t="shared" ref="M6:M14" si="0">SUM(J6:L6)</f>
        <v>97856.429000000004</v>
      </c>
      <c r="N6" s="35">
        <v>71613.87</v>
      </c>
      <c r="O6" s="35">
        <v>33391.008000000002</v>
      </c>
      <c r="P6" s="35">
        <v>160</v>
      </c>
      <c r="Q6" s="34">
        <f t="shared" ref="Q6:Q14" si="1">SUM(N6:P6)</f>
        <v>105164.878</v>
      </c>
      <c r="R6" s="35">
        <v>66710.346999999994</v>
      </c>
      <c r="S6" s="35">
        <v>34777.49</v>
      </c>
      <c r="T6" s="35">
        <v>63</v>
      </c>
      <c r="U6" s="34">
        <f t="shared" ref="U6:U14" si="2">SUM(R6:T6)</f>
        <v>101550.837</v>
      </c>
    </row>
    <row r="7" spans="2:21">
      <c r="B7" s="9"/>
      <c r="C7" s="10" t="s">
        <v>283</v>
      </c>
      <c r="D7" s="10" t="s">
        <v>342</v>
      </c>
      <c r="E7" s="67">
        <v>348033</v>
      </c>
      <c r="F7" s="67">
        <v>6117</v>
      </c>
      <c r="G7" s="67">
        <v>0</v>
      </c>
      <c r="H7" s="387">
        <v>500</v>
      </c>
      <c r="I7" s="34">
        <f t="shared" ref="I7:I17" si="3">SUM(E7:H7)</f>
        <v>354650</v>
      </c>
      <c r="J7" s="67">
        <v>347204</v>
      </c>
      <c r="K7" s="99">
        <v>5387</v>
      </c>
      <c r="L7" s="99">
        <v>0</v>
      </c>
      <c r="M7" s="34">
        <f t="shared" si="0"/>
        <v>352591</v>
      </c>
      <c r="N7" s="35">
        <v>362967</v>
      </c>
      <c r="O7" s="35">
        <v>6332</v>
      </c>
      <c r="P7" s="35">
        <v>0</v>
      </c>
      <c r="Q7" s="34">
        <f t="shared" si="1"/>
        <v>369299</v>
      </c>
      <c r="R7" s="35">
        <v>364690</v>
      </c>
      <c r="S7" s="35">
        <v>6199</v>
      </c>
      <c r="T7" s="35">
        <v>351</v>
      </c>
      <c r="U7" s="34">
        <f t="shared" si="2"/>
        <v>371240</v>
      </c>
    </row>
    <row r="8" spans="2:21">
      <c r="B8" s="9"/>
      <c r="C8" s="10" t="s">
        <v>284</v>
      </c>
      <c r="D8" s="10" t="s">
        <v>342</v>
      </c>
      <c r="E8" s="67">
        <v>50571.5</v>
      </c>
      <c r="F8" s="67">
        <v>53248</v>
      </c>
      <c r="G8" s="67">
        <v>6693</v>
      </c>
      <c r="H8" s="387">
        <v>1741</v>
      </c>
      <c r="I8" s="34">
        <f t="shared" si="3"/>
        <v>112253.5</v>
      </c>
      <c r="J8" s="67">
        <v>63138</v>
      </c>
      <c r="K8" s="99">
        <v>66662</v>
      </c>
      <c r="L8" s="99">
        <v>10046</v>
      </c>
      <c r="M8" s="34">
        <f t="shared" si="0"/>
        <v>139846</v>
      </c>
      <c r="N8" s="35">
        <v>69392</v>
      </c>
      <c r="O8" s="35">
        <v>68102</v>
      </c>
      <c r="P8" s="35">
        <v>18037</v>
      </c>
      <c r="Q8" s="34">
        <f t="shared" si="1"/>
        <v>155531</v>
      </c>
      <c r="R8" s="35">
        <v>81770</v>
      </c>
      <c r="S8" s="35">
        <v>58259</v>
      </c>
      <c r="T8" s="35">
        <v>5503</v>
      </c>
      <c r="U8" s="34">
        <f t="shared" si="2"/>
        <v>145532</v>
      </c>
    </row>
    <row r="9" spans="2:21">
      <c r="B9" s="9"/>
      <c r="C9" s="10" t="s">
        <v>343</v>
      </c>
      <c r="D9" s="10" t="s">
        <v>342</v>
      </c>
      <c r="E9" s="67">
        <v>169732</v>
      </c>
      <c r="F9" s="67">
        <v>294958</v>
      </c>
      <c r="G9" s="67">
        <v>38038</v>
      </c>
      <c r="H9" s="387">
        <v>1923</v>
      </c>
      <c r="I9" s="34">
        <f t="shared" si="3"/>
        <v>504651</v>
      </c>
      <c r="J9" s="67">
        <v>164216</v>
      </c>
      <c r="K9" s="99">
        <v>205432</v>
      </c>
      <c r="L9" s="99">
        <v>3107994</v>
      </c>
      <c r="M9" s="34">
        <f t="shared" si="0"/>
        <v>3477642</v>
      </c>
      <c r="N9" s="35">
        <v>145592</v>
      </c>
      <c r="O9" s="35">
        <v>67811</v>
      </c>
      <c r="P9" s="35">
        <v>585285</v>
      </c>
      <c r="Q9" s="34">
        <f t="shared" si="1"/>
        <v>798688</v>
      </c>
      <c r="R9" s="35">
        <v>151309</v>
      </c>
      <c r="S9" s="35">
        <v>0</v>
      </c>
      <c r="T9" s="35">
        <v>58057</v>
      </c>
      <c r="U9" s="34">
        <f t="shared" si="2"/>
        <v>209366</v>
      </c>
    </row>
    <row r="10" spans="2:21" ht="16.5" customHeight="1">
      <c r="B10" s="9"/>
      <c r="C10" s="10" t="s">
        <v>344</v>
      </c>
      <c r="D10" s="10" t="s">
        <v>342</v>
      </c>
      <c r="E10" s="67">
        <f>643084</f>
        <v>643084</v>
      </c>
      <c r="F10" s="67">
        <v>973256</v>
      </c>
      <c r="G10" s="399">
        <v>3723201.5</v>
      </c>
      <c r="H10" s="387">
        <v>4829067</v>
      </c>
      <c r="I10" s="34">
        <f t="shared" si="3"/>
        <v>10168608.5</v>
      </c>
      <c r="J10" s="67">
        <v>707759</v>
      </c>
      <c r="K10" s="99">
        <v>894726</v>
      </c>
      <c r="L10" s="730" t="s">
        <v>345</v>
      </c>
      <c r="M10" s="34">
        <f t="shared" si="0"/>
        <v>1602485</v>
      </c>
      <c r="N10" s="35">
        <v>817229</v>
      </c>
      <c r="O10" s="35">
        <v>1126119</v>
      </c>
      <c r="P10" s="35"/>
      <c r="Q10" s="34">
        <f t="shared" si="1"/>
        <v>1943348</v>
      </c>
      <c r="R10" s="35">
        <v>877600</v>
      </c>
      <c r="S10" s="35">
        <v>1075568</v>
      </c>
      <c r="T10" s="35"/>
      <c r="U10" s="34">
        <f t="shared" si="2"/>
        <v>1953168</v>
      </c>
    </row>
    <row r="11" spans="2:21" ht="15.75" customHeight="1">
      <c r="B11" s="9"/>
      <c r="C11" s="10" t="s">
        <v>346</v>
      </c>
      <c r="D11" s="10" t="s">
        <v>342</v>
      </c>
      <c r="E11" s="67">
        <f>1077407+134873</f>
        <v>1212280</v>
      </c>
      <c r="F11" s="67">
        <v>0</v>
      </c>
      <c r="G11" s="328">
        <v>0</v>
      </c>
      <c r="H11" s="387">
        <v>304129</v>
      </c>
      <c r="I11" s="34">
        <f t="shared" si="3"/>
        <v>1516409</v>
      </c>
      <c r="J11" s="67">
        <v>1121180</v>
      </c>
      <c r="K11" s="99">
        <v>0</v>
      </c>
      <c r="L11" s="721"/>
      <c r="M11" s="34">
        <f t="shared" si="0"/>
        <v>1121180</v>
      </c>
      <c r="N11" s="35">
        <v>1048573</v>
      </c>
      <c r="O11" s="35">
        <v>0</v>
      </c>
      <c r="P11" s="35"/>
      <c r="Q11" s="34">
        <f t="shared" si="1"/>
        <v>1048573</v>
      </c>
      <c r="R11" s="35">
        <v>748432</v>
      </c>
      <c r="S11" s="35">
        <v>82142</v>
      </c>
      <c r="T11" s="35"/>
      <c r="U11" s="34">
        <f t="shared" si="2"/>
        <v>830574</v>
      </c>
    </row>
    <row r="12" spans="2:21" ht="15.75" customHeight="1">
      <c r="B12" s="9"/>
      <c r="C12" s="10" t="s">
        <v>285</v>
      </c>
      <c r="D12" s="10" t="s">
        <v>342</v>
      </c>
      <c r="E12" s="67">
        <v>59593</v>
      </c>
      <c r="F12" s="67">
        <v>0</v>
      </c>
      <c r="G12" s="399">
        <v>7452385</v>
      </c>
      <c r="H12" s="387">
        <v>3269</v>
      </c>
      <c r="I12" s="34">
        <f t="shared" si="3"/>
        <v>7515247</v>
      </c>
      <c r="J12" s="67">
        <v>62417</v>
      </c>
      <c r="K12" s="99">
        <v>0</v>
      </c>
      <c r="L12" s="722"/>
      <c r="M12" s="34">
        <f t="shared" si="0"/>
        <v>62417</v>
      </c>
      <c r="N12" s="35">
        <v>70565</v>
      </c>
      <c r="O12" s="35">
        <v>0</v>
      </c>
      <c r="P12" s="35">
        <v>537932</v>
      </c>
      <c r="Q12" s="34">
        <f t="shared" si="1"/>
        <v>608497</v>
      </c>
      <c r="R12" s="35">
        <v>23602</v>
      </c>
      <c r="S12" s="35">
        <v>0</v>
      </c>
      <c r="T12" s="35">
        <v>132144</v>
      </c>
      <c r="U12" s="34">
        <f t="shared" si="2"/>
        <v>155746</v>
      </c>
    </row>
    <row r="13" spans="2:21">
      <c r="B13" s="9"/>
      <c r="C13" s="10" t="s">
        <v>286</v>
      </c>
      <c r="D13" s="10" t="s">
        <v>347</v>
      </c>
      <c r="E13" s="67">
        <v>922.65129999999999</v>
      </c>
      <c r="F13" s="67">
        <v>1053.0920000000001</v>
      </c>
      <c r="G13" s="67">
        <v>871.73</v>
      </c>
      <c r="H13" s="387">
        <v>1466</v>
      </c>
      <c r="I13" s="34">
        <f t="shared" si="3"/>
        <v>4313.4732999999997</v>
      </c>
      <c r="J13" s="67">
        <v>357.6</v>
      </c>
      <c r="K13" s="67">
        <v>1101.1220000000001</v>
      </c>
      <c r="L13" s="67">
        <v>88.55</v>
      </c>
      <c r="M13" s="34">
        <f t="shared" si="0"/>
        <v>1547.2720000000002</v>
      </c>
      <c r="N13" s="35">
        <v>456</v>
      </c>
      <c r="O13" s="35">
        <v>865.08799999999997</v>
      </c>
      <c r="P13" s="35">
        <v>6</v>
      </c>
      <c r="Q13" s="34">
        <f t="shared" si="1"/>
        <v>1327.088</v>
      </c>
      <c r="R13" s="35">
        <v>741</v>
      </c>
      <c r="S13" s="35">
        <v>1219.3610000000001</v>
      </c>
      <c r="T13" s="35">
        <v>0.40500000000000003</v>
      </c>
      <c r="U13" s="34">
        <f t="shared" si="2"/>
        <v>1960.7660000000001</v>
      </c>
    </row>
    <row r="14" spans="2:21">
      <c r="B14" s="9"/>
      <c r="C14" s="10" t="s">
        <v>348</v>
      </c>
      <c r="D14" s="10" t="s">
        <v>349</v>
      </c>
      <c r="E14" s="67">
        <v>78.3</v>
      </c>
      <c r="F14" s="67">
        <v>0</v>
      </c>
      <c r="G14" s="27">
        <v>0</v>
      </c>
      <c r="H14" s="387">
        <v>1337</v>
      </c>
      <c r="I14" s="34">
        <f t="shared" si="3"/>
        <v>1415.3</v>
      </c>
      <c r="J14" s="67">
        <v>0</v>
      </c>
      <c r="K14" s="67">
        <v>0</v>
      </c>
      <c r="L14" s="67">
        <v>0</v>
      </c>
      <c r="M14" s="34">
        <f t="shared" si="0"/>
        <v>0</v>
      </c>
      <c r="N14" s="35">
        <v>4.3</v>
      </c>
      <c r="O14" s="35">
        <v>0</v>
      </c>
      <c r="P14" s="35"/>
      <c r="Q14" s="34">
        <f t="shared" si="1"/>
        <v>4.3</v>
      </c>
      <c r="R14" s="35">
        <v>4.077</v>
      </c>
      <c r="S14" s="35"/>
      <c r="T14" s="35"/>
      <c r="U14" s="34">
        <f t="shared" si="2"/>
        <v>4.077</v>
      </c>
    </row>
    <row r="15" spans="2:21">
      <c r="B15" s="9"/>
      <c r="C15" s="10" t="s">
        <v>350</v>
      </c>
      <c r="D15" s="10" t="s">
        <v>349</v>
      </c>
      <c r="E15" s="731" t="s">
        <v>26</v>
      </c>
      <c r="F15" s="731" t="s">
        <v>26</v>
      </c>
      <c r="G15" s="735" t="s">
        <v>26</v>
      </c>
      <c r="H15" s="735" t="s">
        <v>26</v>
      </c>
      <c r="I15" s="242">
        <f t="shared" si="3"/>
        <v>0</v>
      </c>
      <c r="J15" s="731" t="s">
        <v>26</v>
      </c>
      <c r="K15" s="731" t="s">
        <v>26</v>
      </c>
      <c r="L15" s="732" t="s">
        <v>26</v>
      </c>
      <c r="M15" s="745" t="s">
        <v>26</v>
      </c>
      <c r="N15" s="243"/>
      <c r="O15" s="243"/>
      <c r="P15" s="243"/>
      <c r="Q15" s="745" t="s">
        <v>26</v>
      </c>
      <c r="R15" s="35"/>
      <c r="S15" s="35"/>
      <c r="T15" s="35"/>
      <c r="U15" s="745" t="s">
        <v>26</v>
      </c>
    </row>
    <row r="16" spans="2:21">
      <c r="B16" s="9"/>
      <c r="C16" s="10" t="s">
        <v>351</v>
      </c>
      <c r="D16" s="10" t="s">
        <v>349</v>
      </c>
      <c r="E16" s="714"/>
      <c r="F16" s="714"/>
      <c r="G16" s="736"/>
      <c r="H16" s="736"/>
      <c r="I16" s="242">
        <f t="shared" si="3"/>
        <v>0</v>
      </c>
      <c r="J16" s="721"/>
      <c r="K16" s="721"/>
      <c r="L16" s="733"/>
      <c r="M16" s="746"/>
      <c r="N16" s="243"/>
      <c r="O16" s="243"/>
      <c r="P16" s="243"/>
      <c r="Q16" s="746"/>
      <c r="R16" s="35"/>
      <c r="S16" s="35"/>
      <c r="T16" s="35"/>
      <c r="U16" s="746"/>
    </row>
    <row r="17" spans="2:21">
      <c r="B17" s="9"/>
      <c r="C17" s="174" t="s">
        <v>352</v>
      </c>
      <c r="D17" s="10" t="s">
        <v>341</v>
      </c>
      <c r="E17" s="711"/>
      <c r="F17" s="711"/>
      <c r="G17" s="737"/>
      <c r="H17" s="737"/>
      <c r="I17" s="242">
        <f t="shared" si="3"/>
        <v>0</v>
      </c>
      <c r="J17" s="722"/>
      <c r="K17" s="722"/>
      <c r="L17" s="734"/>
      <c r="M17" s="747"/>
      <c r="N17" s="243"/>
      <c r="O17" s="244"/>
      <c r="P17" s="243"/>
      <c r="Q17" s="747"/>
      <c r="R17" s="35"/>
      <c r="S17" s="67"/>
      <c r="T17" s="35"/>
      <c r="U17" s="747"/>
    </row>
    <row r="18" spans="2:21">
      <c r="B18" s="642" t="s">
        <v>611</v>
      </c>
      <c r="C18" s="642"/>
      <c r="D18" s="642"/>
      <c r="E18" s="642"/>
      <c r="F18" s="642"/>
      <c r="G18" s="642"/>
      <c r="H18" s="642"/>
      <c r="I18" s="642"/>
      <c r="J18" s="642"/>
      <c r="K18" s="642"/>
      <c r="L18" s="642"/>
      <c r="M18" s="642"/>
      <c r="N18" s="642"/>
      <c r="O18" s="642"/>
      <c r="P18" s="642"/>
      <c r="Q18" s="642"/>
      <c r="R18" s="642"/>
      <c r="S18" s="642"/>
      <c r="T18" s="642"/>
      <c r="U18" s="642"/>
    </row>
    <row r="19" spans="2:21" ht="17" thickBot="1">
      <c r="B19" s="285"/>
      <c r="C19" s="614"/>
      <c r="D19" s="103"/>
      <c r="E19" s="286"/>
      <c r="F19" s="302"/>
      <c r="G19" s="294"/>
      <c r="H19" s="302"/>
      <c r="I19" s="288"/>
      <c r="J19" s="362"/>
      <c r="K19" s="362"/>
      <c r="L19" s="302"/>
      <c r="M19" s="288"/>
      <c r="N19" s="303"/>
      <c r="O19" s="304"/>
      <c r="P19" s="285"/>
      <c r="Q19" s="285"/>
      <c r="R19" s="285"/>
      <c r="S19" s="285"/>
      <c r="T19" s="285"/>
      <c r="U19" s="285"/>
    </row>
    <row r="20" spans="2:21">
      <c r="B20" s="30" t="s">
        <v>353</v>
      </c>
      <c r="C20" s="10"/>
      <c r="D20" s="10"/>
      <c r="E20" s="10"/>
      <c r="F20" s="10"/>
      <c r="G20" s="10"/>
      <c r="H20" s="10"/>
      <c r="I20" s="12"/>
      <c r="J20" s="10"/>
      <c r="K20" s="10"/>
      <c r="L20" s="10"/>
      <c r="M20" s="12"/>
      <c r="N20" s="9"/>
      <c r="O20" s="9"/>
      <c r="P20" s="9"/>
      <c r="Q20" s="12"/>
      <c r="R20" s="9"/>
      <c r="S20" s="9"/>
      <c r="T20" s="9"/>
      <c r="U20" s="12"/>
    </row>
    <row r="21" spans="2:21">
      <c r="B21" s="9"/>
      <c r="C21" s="10" t="s">
        <v>282</v>
      </c>
      <c r="D21" s="10" t="s">
        <v>354</v>
      </c>
      <c r="E21" s="67">
        <v>255422.09160000001</v>
      </c>
      <c r="F21" s="67">
        <v>115970.19</v>
      </c>
      <c r="G21" s="67">
        <v>3632.5079999999998</v>
      </c>
      <c r="H21" s="387">
        <v>255443.14526399999</v>
      </c>
      <c r="I21" s="34">
        <f>SUM(E21:H21)</f>
        <v>630467.93486399995</v>
      </c>
      <c r="J21" s="67">
        <v>236342</v>
      </c>
      <c r="K21" s="67">
        <v>115678</v>
      </c>
      <c r="L21" s="67">
        <v>266</v>
      </c>
      <c r="M21" s="34">
        <f t="shared" ref="M21:M28" si="4">SUM(J21:L21)</f>
        <v>352286</v>
      </c>
      <c r="N21" s="35">
        <v>257809.932</v>
      </c>
      <c r="O21" s="35">
        <v>120207.62880000001</v>
      </c>
      <c r="P21" s="35">
        <v>576.75960000000009</v>
      </c>
      <c r="Q21" s="34">
        <f t="shared" ref="Q21:Q28" si="5">SUM(N21:P21)</f>
        <v>378594.32039999997</v>
      </c>
      <c r="R21" s="35">
        <v>240157.24919999999</v>
      </c>
      <c r="S21" s="35">
        <v>125198.96399999999</v>
      </c>
      <c r="T21" s="35">
        <v>226.8</v>
      </c>
      <c r="U21" s="34">
        <f t="shared" ref="U21:U28" si="6">SUM(R21:T21)</f>
        <v>365583.01319999999</v>
      </c>
    </row>
    <row r="22" spans="2:21">
      <c r="B22" s="9"/>
      <c r="C22" s="10" t="s">
        <v>283</v>
      </c>
      <c r="D22" s="10" t="s">
        <v>354</v>
      </c>
      <c r="E22" s="67">
        <v>9091</v>
      </c>
      <c r="F22" s="67">
        <v>160</v>
      </c>
      <c r="G22" s="67">
        <v>0</v>
      </c>
      <c r="H22" s="387">
        <v>13.060791648137933</v>
      </c>
      <c r="I22" s="34">
        <f t="shared" ref="I22:I28" si="7">SUM(E22:H22)</f>
        <v>9264.0607916481385</v>
      </c>
      <c r="J22" s="67">
        <v>9070</v>
      </c>
      <c r="K22" s="67">
        <v>141</v>
      </c>
      <c r="L22" s="67">
        <v>0</v>
      </c>
      <c r="M22" s="34">
        <f t="shared" si="4"/>
        <v>9211</v>
      </c>
      <c r="N22" s="35">
        <v>9481.2727242993624</v>
      </c>
      <c r="O22" s="35">
        <v>165.40186543201881</v>
      </c>
      <c r="P22" s="35">
        <v>0</v>
      </c>
      <c r="Q22" s="34">
        <f t="shared" si="5"/>
        <v>9646.6745897313813</v>
      </c>
      <c r="R22" s="35">
        <v>9526.2802123188449</v>
      </c>
      <c r="S22" s="35">
        <v>161.9276948536141</v>
      </c>
      <c r="T22" s="35">
        <v>9.168675736992828</v>
      </c>
      <c r="U22" s="34">
        <f t="shared" si="6"/>
        <v>9697.3765829094518</v>
      </c>
    </row>
    <row r="23" spans="2:21">
      <c r="B23" s="9"/>
      <c r="C23" s="10" t="s">
        <v>284</v>
      </c>
      <c r="D23" s="10" t="s">
        <v>354</v>
      </c>
      <c r="E23" s="67">
        <v>1785</v>
      </c>
      <c r="F23" s="67">
        <v>1880</v>
      </c>
      <c r="G23" s="67">
        <v>236</v>
      </c>
      <c r="H23" s="387">
        <v>61.465494413704739</v>
      </c>
      <c r="I23" s="34">
        <f t="shared" si="7"/>
        <v>3962.4654944137046</v>
      </c>
      <c r="J23" s="67">
        <v>2229</v>
      </c>
      <c r="K23" s="99">
        <v>2353</v>
      </c>
      <c r="L23" s="99">
        <v>355</v>
      </c>
      <c r="M23" s="34">
        <f t="shared" si="4"/>
        <v>4937</v>
      </c>
      <c r="N23" s="35">
        <v>2449.864209279609</v>
      </c>
      <c r="O23" s="35">
        <v>2404.3211376002987</v>
      </c>
      <c r="P23" s="35">
        <v>636.79099525559593</v>
      </c>
      <c r="Q23" s="34">
        <f t="shared" si="5"/>
        <v>5490.9763421355028</v>
      </c>
      <c r="R23" s="35">
        <v>2709.9405424206843</v>
      </c>
      <c r="S23" s="35">
        <v>1930.7622118244667</v>
      </c>
      <c r="T23" s="35">
        <v>182.3749884424731</v>
      </c>
      <c r="U23" s="34">
        <f t="shared" si="6"/>
        <v>4823.0777426876239</v>
      </c>
    </row>
    <row r="24" spans="2:21">
      <c r="B24" s="9"/>
      <c r="C24" s="10" t="s">
        <v>343</v>
      </c>
      <c r="D24" s="10" t="s">
        <v>354</v>
      </c>
      <c r="E24" s="265">
        <v>6475</v>
      </c>
      <c r="F24" s="67">
        <v>11252</v>
      </c>
      <c r="G24" s="67">
        <v>1451</v>
      </c>
      <c r="H24" s="387">
        <v>73.358029226233796</v>
      </c>
      <c r="I24" s="34">
        <f t="shared" si="7"/>
        <v>19251.358029226234</v>
      </c>
      <c r="J24" s="67">
        <v>6264</v>
      </c>
      <c r="K24" s="99">
        <v>7837</v>
      </c>
      <c r="L24" s="99">
        <v>118563</v>
      </c>
      <c r="M24" s="34">
        <f t="shared" si="4"/>
        <v>132664</v>
      </c>
      <c r="N24" s="35">
        <v>5554.0000993790072</v>
      </c>
      <c r="O24" s="35">
        <v>2586.8337596776596</v>
      </c>
      <c r="P24" s="35">
        <v>22327.277241641314</v>
      </c>
      <c r="Q24" s="34">
        <f t="shared" si="5"/>
        <v>30468.111100697981</v>
      </c>
      <c r="R24" s="35">
        <v>5700.7126355375558</v>
      </c>
      <c r="S24" s="35">
        <v>0</v>
      </c>
      <c r="T24" s="35">
        <v>2187.3535181740931</v>
      </c>
      <c r="U24" s="34">
        <f t="shared" si="6"/>
        <v>7888.0661537116484</v>
      </c>
    </row>
    <row r="25" spans="2:21">
      <c r="B25" s="9"/>
      <c r="C25" s="10" t="s">
        <v>344</v>
      </c>
      <c r="D25" s="10" t="s">
        <v>354</v>
      </c>
      <c r="E25" s="265">
        <v>24532</v>
      </c>
      <c r="F25" s="67">
        <v>37127</v>
      </c>
      <c r="G25" s="67">
        <v>142032</v>
      </c>
      <c r="H25" s="387">
        <v>184217.8045353308</v>
      </c>
      <c r="I25" s="34">
        <f>SUM(E25:H25)</f>
        <v>387908.8045353308</v>
      </c>
      <c r="J25" s="67">
        <v>26999</v>
      </c>
      <c r="K25" s="99">
        <v>34132</v>
      </c>
      <c r="L25" s="99">
        <v>0</v>
      </c>
      <c r="M25" s="34">
        <f t="shared" si="4"/>
        <v>61131</v>
      </c>
      <c r="N25" s="35">
        <v>31175.407626898497</v>
      </c>
      <c r="O25" s="35">
        <v>42958.851021433788</v>
      </c>
      <c r="P25" s="35">
        <v>0</v>
      </c>
      <c r="Q25" s="34">
        <f t="shared" si="5"/>
        <v>74134.258648332281</v>
      </c>
      <c r="R25" s="35">
        <v>33064.427158647261</v>
      </c>
      <c r="S25" s="35">
        <v>40523.06265972188</v>
      </c>
      <c r="T25" s="35">
        <v>0</v>
      </c>
      <c r="U25" s="34">
        <f t="shared" si="6"/>
        <v>73587.48981836914</v>
      </c>
    </row>
    <row r="26" spans="2:21">
      <c r="B26" s="9"/>
      <c r="C26" s="10" t="s">
        <v>346</v>
      </c>
      <c r="D26" s="10" t="s">
        <v>354</v>
      </c>
      <c r="E26" s="265">
        <v>46246</v>
      </c>
      <c r="F26" s="67">
        <v>0</v>
      </c>
      <c r="G26" s="67">
        <v>0</v>
      </c>
      <c r="H26" s="387">
        <v>11601.822189571116</v>
      </c>
      <c r="I26" s="34">
        <f>SUM(E26:H26)</f>
        <v>57847.822189571118</v>
      </c>
      <c r="J26" s="67">
        <v>42770</v>
      </c>
      <c r="K26" s="99">
        <v>0</v>
      </c>
      <c r="L26" s="99">
        <v>0</v>
      </c>
      <c r="M26" s="34">
        <f t="shared" si="4"/>
        <v>42770</v>
      </c>
      <c r="N26" s="35">
        <v>40000.649391492276</v>
      </c>
      <c r="O26" s="35">
        <v>0</v>
      </c>
      <c r="P26" s="35">
        <v>0</v>
      </c>
      <c r="Q26" s="34">
        <f t="shared" si="5"/>
        <v>40000.649391492276</v>
      </c>
      <c r="R26" s="35">
        <v>28197.898071103791</v>
      </c>
      <c r="S26" s="35">
        <v>3094.7791427365582</v>
      </c>
      <c r="T26" s="35">
        <v>0</v>
      </c>
      <c r="U26" s="34">
        <f t="shared" si="6"/>
        <v>31292.67721384035</v>
      </c>
    </row>
    <row r="27" spans="2:21">
      <c r="B27" s="9"/>
      <c r="C27" s="10" t="s">
        <v>285</v>
      </c>
      <c r="D27" s="10" t="s">
        <v>354</v>
      </c>
      <c r="E27" s="67">
        <v>2273</v>
      </c>
      <c r="F27" s="67">
        <v>0</v>
      </c>
      <c r="G27" s="67">
        <v>284291</v>
      </c>
      <c r="H27" s="387">
        <v>124.70483491448687</v>
      </c>
      <c r="I27" s="34">
        <f t="shared" si="7"/>
        <v>286688.70483491448</v>
      </c>
      <c r="J27" s="67">
        <v>2381</v>
      </c>
      <c r="K27" s="99">
        <v>0</v>
      </c>
      <c r="L27" s="99">
        <v>0</v>
      </c>
      <c r="M27" s="34">
        <f t="shared" si="4"/>
        <v>2381</v>
      </c>
      <c r="N27" s="35">
        <v>2691.8925285227183</v>
      </c>
      <c r="O27" s="35">
        <v>0</v>
      </c>
      <c r="P27" s="35">
        <v>20520.869151183771</v>
      </c>
      <c r="Q27" s="34">
        <f t="shared" si="5"/>
        <v>23212.761679706491</v>
      </c>
      <c r="R27" s="35">
        <v>889.22813331630891</v>
      </c>
      <c r="S27" s="35">
        <v>0</v>
      </c>
      <c r="T27" s="35">
        <v>4978.6527603148179</v>
      </c>
      <c r="U27" s="34">
        <f t="shared" si="6"/>
        <v>5867.880893631127</v>
      </c>
    </row>
    <row r="28" spans="2:21">
      <c r="B28" s="9"/>
      <c r="C28" s="10" t="s">
        <v>286</v>
      </c>
      <c r="D28" s="10" t="s">
        <v>354</v>
      </c>
      <c r="E28" s="67">
        <v>3691</v>
      </c>
      <c r="F28" s="67">
        <v>4212</v>
      </c>
      <c r="G28" s="67">
        <v>3484</v>
      </c>
      <c r="H28" s="387">
        <v>5864</v>
      </c>
      <c r="I28" s="34">
        <f t="shared" si="7"/>
        <v>17251</v>
      </c>
      <c r="J28" s="67">
        <v>1430</v>
      </c>
      <c r="K28" s="99">
        <v>4404</v>
      </c>
      <c r="L28" s="99">
        <v>354</v>
      </c>
      <c r="M28" s="34">
        <f t="shared" si="4"/>
        <v>6188</v>
      </c>
      <c r="N28" s="35">
        <v>1824</v>
      </c>
      <c r="O28" s="35">
        <v>3460.3519999999999</v>
      </c>
      <c r="P28" s="35">
        <v>23.4</v>
      </c>
      <c r="Q28" s="34">
        <f t="shared" si="5"/>
        <v>5307.7519999999995</v>
      </c>
      <c r="R28" s="35">
        <v>2964</v>
      </c>
      <c r="S28" s="35">
        <v>4877.4440000000004</v>
      </c>
      <c r="T28" s="35">
        <v>1.62</v>
      </c>
      <c r="U28" s="34">
        <f t="shared" si="6"/>
        <v>7843.0640000000003</v>
      </c>
    </row>
    <row r="29" spans="2:21">
      <c r="B29" s="13"/>
      <c r="C29" s="14" t="s">
        <v>355</v>
      </c>
      <c r="D29" s="10" t="s">
        <v>354</v>
      </c>
      <c r="E29" s="61">
        <f>SUM(E21:E28)</f>
        <v>349515.09160000004</v>
      </c>
      <c r="F29" s="61">
        <f>SUM(F21:F28)</f>
        <v>170601.19</v>
      </c>
      <c r="G29" s="61">
        <f>SUM(G21:G28)</f>
        <v>435126.50800000003</v>
      </c>
      <c r="H29" s="61">
        <f>SUM(H21:H28)</f>
        <v>457399.36113910441</v>
      </c>
      <c r="I29" s="73">
        <f>SUM(I21:I28)</f>
        <v>1412642.1507391045</v>
      </c>
      <c r="J29" s="61">
        <f t="shared" ref="J29:U29" si="8">SUM(J21:J28)</f>
        <v>327485</v>
      </c>
      <c r="K29" s="61">
        <f t="shared" si="8"/>
        <v>164545</v>
      </c>
      <c r="L29" s="61">
        <f t="shared" si="8"/>
        <v>119538</v>
      </c>
      <c r="M29" s="73">
        <f t="shared" si="8"/>
        <v>611568</v>
      </c>
      <c r="N29" s="61">
        <f t="shared" si="8"/>
        <v>350987.01857987145</v>
      </c>
      <c r="O29" s="61">
        <f t="shared" si="8"/>
        <v>171783.38858414377</v>
      </c>
      <c r="P29" s="61">
        <f t="shared" si="8"/>
        <v>44085.096988080688</v>
      </c>
      <c r="Q29" s="73">
        <f t="shared" si="8"/>
        <v>566855.50415209588</v>
      </c>
      <c r="R29" s="61">
        <f t="shared" si="8"/>
        <v>323209.73595334444</v>
      </c>
      <c r="S29" s="61">
        <f t="shared" si="8"/>
        <v>175786.9397091365</v>
      </c>
      <c r="T29" s="61">
        <f t="shared" si="8"/>
        <v>7585.9699426683774</v>
      </c>
      <c r="U29" s="73">
        <f t="shared" si="8"/>
        <v>506582.64560514933</v>
      </c>
    </row>
    <row r="30" spans="2:21" s="172" customFormat="1">
      <c r="B30" s="186"/>
      <c r="C30" s="174" t="s">
        <v>281</v>
      </c>
      <c r="D30" s="174" t="s">
        <v>308</v>
      </c>
      <c r="E30" s="265">
        <f>+Business!$D$29</f>
        <v>402992</v>
      </c>
      <c r="F30" s="265">
        <f>+Business!$E$29</f>
        <v>393940</v>
      </c>
      <c r="G30" s="265">
        <f>+Business!$G$29</f>
        <v>338252</v>
      </c>
      <c r="H30" s="400">
        <f>Business!J29</f>
        <v>745618</v>
      </c>
      <c r="I30" s="185">
        <f>SUM(E30:H30)</f>
        <v>1880802</v>
      </c>
      <c r="J30" s="265">
        <f>+Business!$M$29</f>
        <v>353793</v>
      </c>
      <c r="K30" s="265">
        <f>+Business!$N$29</f>
        <v>427646</v>
      </c>
      <c r="L30" s="731" t="s">
        <v>26</v>
      </c>
      <c r="M30" s="185">
        <f>SUM(J30:L30)</f>
        <v>781439</v>
      </c>
      <c r="N30" s="266">
        <f>+Business!$U$29</f>
        <v>433409</v>
      </c>
      <c r="O30" s="266">
        <f>+Business!$V$29</f>
        <v>440973</v>
      </c>
      <c r="P30" s="265" t="s">
        <v>93</v>
      </c>
      <c r="Q30" s="185">
        <f>SUM(N30:P30)</f>
        <v>874382</v>
      </c>
      <c r="R30" s="270">
        <f>+Business!$AC$29</f>
        <v>412303</v>
      </c>
      <c r="S30" s="270">
        <f>+Business!$AD$29</f>
        <v>422239</v>
      </c>
      <c r="T30" s="270"/>
      <c r="U30" s="271">
        <f>R30+S30</f>
        <v>834542</v>
      </c>
    </row>
    <row r="31" spans="2:21" ht="16" customHeight="1">
      <c r="B31" s="13"/>
      <c r="C31" s="14" t="s">
        <v>356</v>
      </c>
      <c r="D31" s="14" t="s">
        <v>357</v>
      </c>
      <c r="E31" s="245">
        <f>+E29/E30</f>
        <v>0.86730032258704903</v>
      </c>
      <c r="F31" s="245">
        <f>+F29/F30</f>
        <v>0.43306389297862619</v>
      </c>
      <c r="G31" s="401">
        <f>+G29/G30</f>
        <v>1.2863974433262775</v>
      </c>
      <c r="H31" s="401">
        <f>+H29/H30</f>
        <v>0.61344999871127626</v>
      </c>
      <c r="I31" s="246">
        <f>I29/I30</f>
        <v>0.75108498966882453</v>
      </c>
      <c r="J31" s="245">
        <f>+J29/J30</f>
        <v>0.92564013420276825</v>
      </c>
      <c r="K31" s="245">
        <f>+K29/K30</f>
        <v>0.38476917824555823</v>
      </c>
      <c r="L31" s="721"/>
      <c r="M31" s="246">
        <f>M29/Business!T29</f>
        <v>0.78261770912380879</v>
      </c>
      <c r="N31" s="247">
        <f>N29/Business!U29</f>
        <v>0.80982863433816887</v>
      </c>
      <c r="O31" s="247">
        <f>O29/Business!V29</f>
        <v>0.38955534371524736</v>
      </c>
      <c r="P31" s="248" t="s">
        <v>26</v>
      </c>
      <c r="Q31" s="246">
        <f>Q29/Business!AB29</f>
        <v>0.64829274179031116</v>
      </c>
      <c r="R31" s="247">
        <f>R29/Business!AC29</f>
        <v>0.78391313173405097</v>
      </c>
      <c r="S31" s="247">
        <f>S29/Business!AD29</f>
        <v>0.41632094550512033</v>
      </c>
      <c r="T31" s="248" t="s">
        <v>26</v>
      </c>
      <c r="U31" s="246">
        <f>U29/Business!AJ29</f>
        <v>0.60701875472432698</v>
      </c>
    </row>
    <row r="32" spans="2:21" ht="28" customHeight="1">
      <c r="B32" s="13"/>
      <c r="C32" s="14" t="s">
        <v>358</v>
      </c>
      <c r="D32" s="14" t="s">
        <v>359</v>
      </c>
      <c r="E32" s="245">
        <f>E29/Business!D35</f>
        <v>6.9696354689075965E-2</v>
      </c>
      <c r="F32" s="245">
        <f>F29/Business!E35</f>
        <v>9.3226884566140075E-2</v>
      </c>
      <c r="G32" s="245">
        <f>G29/Business!G35</f>
        <v>0.43346978647608841</v>
      </c>
      <c r="H32" s="631">
        <f>H29/Business!J35</f>
        <v>9.2187652145936522E-2</v>
      </c>
      <c r="I32" s="330">
        <f>I29/Business!L35</f>
        <v>0.11027464645908062</v>
      </c>
      <c r="J32" s="245">
        <f>J29/Business!M35</f>
        <v>6.3905036084094688E-2</v>
      </c>
      <c r="K32" s="245">
        <f>K29/Business!N35</f>
        <v>6.6589721601585092E-2</v>
      </c>
      <c r="L32" s="722"/>
      <c r="M32" s="246">
        <f>M29/Business!T35</f>
        <v>8.0516257867729465E-2</v>
      </c>
      <c r="N32" s="247">
        <f>N29/Business!U35</f>
        <v>5.5697752596646152E-2</v>
      </c>
      <c r="O32" s="247">
        <f>O29/Business!V35</f>
        <v>7.1585181094744016E-2</v>
      </c>
      <c r="P32" s="248" t="s">
        <v>26</v>
      </c>
      <c r="Q32" s="246">
        <f>Q29/Business!AB35</f>
        <v>6.5145748668003989E-2</v>
      </c>
      <c r="R32" s="247">
        <f>R29/Business!AC35</f>
        <v>4.8975973243641377E-2</v>
      </c>
      <c r="S32" s="247">
        <f>S29/Business!AD35</f>
        <v>7.4236481330180293E-2</v>
      </c>
      <c r="T32" s="248" t="s">
        <v>26</v>
      </c>
      <c r="U32" s="246">
        <f>U29/Business!AJ35</f>
        <v>5.649231017026328E-2</v>
      </c>
    </row>
    <row r="33" spans="2:21">
      <c r="B33" s="9"/>
      <c r="C33" s="10" t="s">
        <v>360</v>
      </c>
      <c r="D33" s="10" t="s">
        <v>306</v>
      </c>
      <c r="E33" s="20">
        <f>E21/SUM(E21:E28)</f>
        <v>0.7307898792888633</v>
      </c>
      <c r="F33" s="20">
        <f>F21/SUM(F21:F28)</f>
        <v>0.67977362877714975</v>
      </c>
      <c r="G33" s="326">
        <f>G21/SUM(G21:G28)</f>
        <v>8.3481652650773449E-3</v>
      </c>
      <c r="H33" s="20">
        <f>H21/SUM(H21:H28)</f>
        <v>0.55846852218561482</v>
      </c>
      <c r="I33" s="26">
        <f>I21/I29</f>
        <v>0.4463040654238829</v>
      </c>
      <c r="J33" s="20">
        <f>J21/SUM(J21:J28)</f>
        <v>0.72168801624501888</v>
      </c>
      <c r="K33" s="20">
        <f>K21/SUM(K21:K28)</f>
        <v>0.7030174116503084</v>
      </c>
      <c r="L33" s="20">
        <f>L21/SUM(L21:L28)</f>
        <v>2.2252338168615837E-3</v>
      </c>
      <c r="M33" s="26">
        <f t="shared" ref="M33:U33" si="9">M21/M29</f>
        <v>0.57603733354263142</v>
      </c>
      <c r="N33" s="22">
        <f t="shared" si="9"/>
        <v>0.73452839664305747</v>
      </c>
      <c r="O33" s="22">
        <f t="shared" si="9"/>
        <v>0.69976282218416785</v>
      </c>
      <c r="P33" s="22">
        <f t="shared" si="9"/>
        <v>1.3082870162584397E-2</v>
      </c>
      <c r="Q33" s="26">
        <f t="shared" si="9"/>
        <v>0.66788505646831897</v>
      </c>
      <c r="R33" s="22">
        <f t="shared" si="9"/>
        <v>0.74303841278675731</v>
      </c>
      <c r="S33" s="22">
        <f t="shared" si="9"/>
        <v>0.71221994197725258</v>
      </c>
      <c r="T33" s="22">
        <f t="shared" si="9"/>
        <v>2.9897297473369996E-2</v>
      </c>
      <c r="U33" s="26">
        <f t="shared" si="9"/>
        <v>0.72166509526453448</v>
      </c>
    </row>
    <row r="34" spans="2:21" ht="17" thickBot="1">
      <c r="B34" s="285"/>
      <c r="C34" s="614"/>
      <c r="D34" s="103"/>
      <c r="E34" s="286"/>
      <c r="F34" s="302"/>
      <c r="G34" s="294"/>
      <c r="H34" s="302"/>
      <c r="I34" s="288"/>
      <c r="J34" s="362"/>
      <c r="K34" s="362"/>
      <c r="L34" s="302"/>
      <c r="M34" s="288"/>
      <c r="N34" s="303"/>
      <c r="O34" s="304"/>
      <c r="P34" s="285"/>
      <c r="Q34" s="285"/>
      <c r="R34" s="285"/>
      <c r="S34" s="285"/>
      <c r="T34" s="285"/>
      <c r="U34" s="285"/>
    </row>
    <row r="35" spans="2:21">
      <c r="B35" s="30" t="s">
        <v>363</v>
      </c>
      <c r="C35" s="10"/>
      <c r="D35" s="10"/>
      <c r="E35" s="10"/>
      <c r="F35" s="10"/>
      <c r="G35" s="20"/>
      <c r="H35" s="364"/>
      <c r="I35" s="74"/>
      <c r="J35" s="365"/>
      <c r="K35" s="10"/>
      <c r="L35" s="20"/>
      <c r="M35" s="74"/>
      <c r="N35" s="9"/>
      <c r="O35" s="9"/>
      <c r="P35" s="9"/>
      <c r="Q35" s="9"/>
      <c r="R35" s="9"/>
      <c r="S35" s="9"/>
      <c r="T35" s="9"/>
      <c r="U35" s="9"/>
    </row>
    <row r="36" spans="2:21">
      <c r="B36" s="9"/>
      <c r="C36" s="10" t="s">
        <v>283</v>
      </c>
      <c r="D36" s="10" t="s">
        <v>364</v>
      </c>
      <c r="E36" s="67">
        <v>574.13327779999997</v>
      </c>
      <c r="F36" s="67">
        <v>10.090956609999999</v>
      </c>
      <c r="G36" s="67">
        <v>0</v>
      </c>
      <c r="H36" s="67">
        <v>0.82484776614232702</v>
      </c>
      <c r="I36" s="34">
        <f t="shared" ref="I36:I44" si="10">SUM(E36:H36)</f>
        <v>585.04908217614229</v>
      </c>
      <c r="J36" s="67">
        <v>573</v>
      </c>
      <c r="K36" s="67">
        <v>9</v>
      </c>
      <c r="L36" s="67">
        <v>0</v>
      </c>
      <c r="M36" s="34">
        <f t="shared" ref="M36:M44" si="11">SUM(J36:L36)</f>
        <v>582</v>
      </c>
      <c r="N36" s="35">
        <v>598.78503826676399</v>
      </c>
      <c r="O36" s="35">
        <v>10.44587211042643</v>
      </c>
      <c r="P36" s="35">
        <v>0</v>
      </c>
      <c r="Q36" s="34">
        <f t="shared" ref="Q36:Q43" si="12">SUM(N36:P36)</f>
        <v>609.23091037719041</v>
      </c>
      <c r="R36" s="35">
        <v>601.62746366889053</v>
      </c>
      <c r="S36" s="35">
        <v>10.226462604632571</v>
      </c>
      <c r="T36" s="35">
        <v>0.57904313183191358</v>
      </c>
      <c r="U36" s="34">
        <f t="shared" ref="U36:U43" si="13">SUM(R36:T36)</f>
        <v>612.43296940535504</v>
      </c>
    </row>
    <row r="37" spans="2:21">
      <c r="B37" s="9"/>
      <c r="C37" s="10" t="s">
        <v>284</v>
      </c>
      <c r="D37" s="10" t="s">
        <v>364</v>
      </c>
      <c r="E37" s="265">
        <v>128.76391169999999</v>
      </c>
      <c r="F37" s="67">
        <v>135.57982229999999</v>
      </c>
      <c r="G37" s="67">
        <v>17.040996329999999</v>
      </c>
      <c r="H37" s="67">
        <v>4.4328914571163853</v>
      </c>
      <c r="I37" s="366">
        <f t="shared" si="10"/>
        <v>285.81762178711637</v>
      </c>
      <c r="J37" s="67">
        <v>161</v>
      </c>
      <c r="K37" s="67">
        <v>170</v>
      </c>
      <c r="L37" s="67">
        <v>26</v>
      </c>
      <c r="M37" s="34">
        <f t="shared" si="11"/>
        <v>357</v>
      </c>
      <c r="N37" s="35">
        <v>176.68420677324542</v>
      </c>
      <c r="O37" s="35">
        <v>173.39964044373355</v>
      </c>
      <c r="P37" s="35">
        <v>45.925366577833586</v>
      </c>
      <c r="Q37" s="34">
        <f t="shared" si="12"/>
        <v>396.00921379481252</v>
      </c>
      <c r="R37" s="35">
        <v>195.44091191937977</v>
      </c>
      <c r="S37" s="35">
        <v>139.24657071678055</v>
      </c>
      <c r="T37" s="35">
        <v>13.152884166471161</v>
      </c>
      <c r="U37" s="34">
        <f t="shared" si="13"/>
        <v>347.84036680263148</v>
      </c>
    </row>
    <row r="38" spans="2:21">
      <c r="B38" s="9"/>
      <c r="C38" s="10" t="s">
        <v>343</v>
      </c>
      <c r="D38" s="10" t="s">
        <v>364</v>
      </c>
      <c r="E38" s="265">
        <v>487.18787500000002</v>
      </c>
      <c r="F38" s="265">
        <v>847</v>
      </c>
      <c r="G38" s="67">
        <v>109.18184189999999</v>
      </c>
      <c r="H38" s="67">
        <v>5.5196561856607413</v>
      </c>
      <c r="I38" s="367">
        <f t="shared" si="10"/>
        <v>1448.889373085661</v>
      </c>
      <c r="J38" s="67">
        <v>471</v>
      </c>
      <c r="K38" s="99">
        <v>590</v>
      </c>
      <c r="L38" s="99">
        <v>8921</v>
      </c>
      <c r="M38" s="34">
        <f t="shared" si="11"/>
        <v>9982</v>
      </c>
      <c r="N38" s="35">
        <v>417.89796327754476</v>
      </c>
      <c r="O38" s="35">
        <v>194.64035652929826</v>
      </c>
      <c r="P38" s="35">
        <v>1679.964623309645</v>
      </c>
      <c r="Q38" s="34">
        <f t="shared" si="12"/>
        <v>2292.502943116488</v>
      </c>
      <c r="R38" s="35">
        <v>428.93701062196163</v>
      </c>
      <c r="S38" s="35">
        <v>0</v>
      </c>
      <c r="T38" s="35">
        <v>164.58238456191782</v>
      </c>
      <c r="U38" s="34">
        <f t="shared" si="13"/>
        <v>593.5193951838794</v>
      </c>
    </row>
    <row r="39" spans="2:21">
      <c r="B39" s="9"/>
      <c r="C39" s="10" t="s">
        <v>344</v>
      </c>
      <c r="D39" s="10" t="s">
        <v>364</v>
      </c>
      <c r="E39" s="265">
        <v>1845.87</v>
      </c>
      <c r="F39" s="67">
        <v>2793.5717629999999</v>
      </c>
      <c r="G39" s="67">
        <v>10686.83941</v>
      </c>
      <c r="H39" s="67">
        <v>13861.045001310535</v>
      </c>
      <c r="I39" s="34">
        <f t="shared" si="10"/>
        <v>29187.326174310532</v>
      </c>
      <c r="J39" s="67">
        <v>2032</v>
      </c>
      <c r="K39" s="99">
        <v>2568</v>
      </c>
      <c r="L39" s="99">
        <v>0</v>
      </c>
      <c r="M39" s="34">
        <f t="shared" si="11"/>
        <v>4600</v>
      </c>
      <c r="N39" s="35">
        <v>2345.7218434484357</v>
      </c>
      <c r="O39" s="35">
        <v>3232.3399397504359</v>
      </c>
      <c r="P39" s="35">
        <v>0</v>
      </c>
      <c r="Q39" s="34">
        <f t="shared" si="12"/>
        <v>5578.0617831988711</v>
      </c>
      <c r="R39" s="35">
        <v>2487.8567733699479</v>
      </c>
      <c r="S39" s="35">
        <v>3049.0646467866554</v>
      </c>
      <c r="T39" s="35">
        <v>0</v>
      </c>
      <c r="U39" s="34">
        <f t="shared" si="13"/>
        <v>5536.9214201566028</v>
      </c>
    </row>
    <row r="40" spans="2:21">
      <c r="B40" s="9"/>
      <c r="C40" s="10" t="s">
        <v>346</v>
      </c>
      <c r="D40" s="10" t="s">
        <v>364</v>
      </c>
      <c r="E40" s="67">
        <v>3782.6758799999998</v>
      </c>
      <c r="F40" s="67">
        <v>0</v>
      </c>
      <c r="G40" s="67">
        <v>0</v>
      </c>
      <c r="H40" s="67">
        <v>948.97336636040723</v>
      </c>
      <c r="I40" s="34">
        <f t="shared" si="10"/>
        <v>4731.6492463604072</v>
      </c>
      <c r="J40" s="67">
        <v>3498</v>
      </c>
      <c r="K40" s="99">
        <v>0</v>
      </c>
      <c r="L40" s="99">
        <v>0</v>
      </c>
      <c r="M40" s="34">
        <f t="shared" si="11"/>
        <v>3498</v>
      </c>
      <c r="N40" s="35">
        <v>3271.8611171069888</v>
      </c>
      <c r="O40" s="35">
        <v>0</v>
      </c>
      <c r="P40" s="35">
        <v>0</v>
      </c>
      <c r="Q40" s="34">
        <f t="shared" si="12"/>
        <v>3271.8611171069888</v>
      </c>
      <c r="R40" s="35">
        <v>2306.4527123055486</v>
      </c>
      <c r="S40" s="35">
        <v>253.13807893596532</v>
      </c>
      <c r="T40" s="35">
        <v>0</v>
      </c>
      <c r="U40" s="34">
        <f t="shared" si="13"/>
        <v>2559.5907912415141</v>
      </c>
    </row>
    <row r="41" spans="2:21">
      <c r="B41" s="9"/>
      <c r="C41" s="10" t="s">
        <v>285</v>
      </c>
      <c r="D41" s="10" t="s">
        <v>364</v>
      </c>
      <c r="E41" s="67">
        <v>169.01</v>
      </c>
      <c r="F41" s="67">
        <v>0.43</v>
      </c>
      <c r="G41" s="67">
        <v>21135.072240000001</v>
      </c>
      <c r="H41" s="67">
        <v>9.2709315420476965</v>
      </c>
      <c r="I41" s="34">
        <f t="shared" si="10"/>
        <v>21313.783171542047</v>
      </c>
      <c r="J41" s="67">
        <v>177</v>
      </c>
      <c r="K41" s="99">
        <v>0</v>
      </c>
      <c r="L41" s="99">
        <v>0</v>
      </c>
      <c r="M41" s="34">
        <f t="shared" si="11"/>
        <v>177</v>
      </c>
      <c r="N41" s="35">
        <v>200.12336624796444</v>
      </c>
      <c r="O41" s="35">
        <v>0</v>
      </c>
      <c r="P41" s="35">
        <v>1525.5829753064552</v>
      </c>
      <c r="Q41" s="34">
        <f t="shared" si="12"/>
        <v>1725.7063415544196</v>
      </c>
      <c r="R41" s="35">
        <v>66.107887115134361</v>
      </c>
      <c r="S41" s="35">
        <v>0</v>
      </c>
      <c r="T41" s="35">
        <v>370.12798216008451</v>
      </c>
      <c r="U41" s="34">
        <f t="shared" si="13"/>
        <v>436.23586927521887</v>
      </c>
    </row>
    <row r="42" spans="2:21">
      <c r="B42" s="9"/>
      <c r="C42" s="10" t="s">
        <v>286</v>
      </c>
      <c r="D42" s="10" t="s">
        <v>364</v>
      </c>
      <c r="E42" s="67">
        <v>156.85072099999999</v>
      </c>
      <c r="F42" s="67">
        <v>179.02564000000001</v>
      </c>
      <c r="G42" s="67">
        <v>148.19401500000001</v>
      </c>
      <c r="H42" s="67">
        <v>249.22000000000003</v>
      </c>
      <c r="I42" s="34">
        <f t="shared" si="10"/>
        <v>733.29037600000004</v>
      </c>
      <c r="J42" s="67">
        <v>61</v>
      </c>
      <c r="K42" s="99">
        <v>187</v>
      </c>
      <c r="L42" s="99">
        <v>15</v>
      </c>
      <c r="M42" s="34">
        <f t="shared" si="11"/>
        <v>263</v>
      </c>
      <c r="N42" s="35">
        <v>77.52000000000001</v>
      </c>
      <c r="O42" s="35">
        <v>147.06496000000001</v>
      </c>
      <c r="P42" s="35">
        <v>0</v>
      </c>
      <c r="Q42" s="34">
        <f t="shared" si="12"/>
        <v>224.58496000000002</v>
      </c>
      <c r="R42" s="35">
        <v>125.97000000000001</v>
      </c>
      <c r="S42" s="35">
        <v>207.29137000000003</v>
      </c>
      <c r="T42" s="35">
        <v>6.8850000000000008E-2</v>
      </c>
      <c r="U42" s="34">
        <f t="shared" si="13"/>
        <v>333.33022000000005</v>
      </c>
    </row>
    <row r="43" spans="2:21">
      <c r="B43" s="9"/>
      <c r="C43" s="10" t="s">
        <v>365</v>
      </c>
      <c r="D43" s="10" t="s">
        <v>364</v>
      </c>
      <c r="E43" s="67">
        <v>116.69165</v>
      </c>
      <c r="F43" s="67">
        <v>0</v>
      </c>
      <c r="G43" s="67">
        <v>0</v>
      </c>
      <c r="H43" s="67">
        <v>1.07</v>
      </c>
      <c r="I43" s="34">
        <f t="shared" si="10"/>
        <v>117.76164999999999</v>
      </c>
      <c r="J43" s="67">
        <v>0</v>
      </c>
      <c r="K43" s="99">
        <v>0</v>
      </c>
      <c r="L43" s="99">
        <v>0</v>
      </c>
      <c r="M43" s="34">
        <f t="shared" si="11"/>
        <v>0</v>
      </c>
      <c r="N43" s="35">
        <v>8.1999999999999993</v>
      </c>
      <c r="O43" s="35"/>
      <c r="P43" s="35">
        <v>0.99450000000000005</v>
      </c>
      <c r="Q43" s="34">
        <f t="shared" si="12"/>
        <v>9.1944999999999997</v>
      </c>
      <c r="R43" s="35">
        <v>7.81</v>
      </c>
      <c r="S43" s="35">
        <v>0</v>
      </c>
      <c r="T43" s="35">
        <v>0</v>
      </c>
      <c r="U43" s="34">
        <f t="shared" si="13"/>
        <v>7.81</v>
      </c>
    </row>
    <row r="44" spans="2:21">
      <c r="B44" s="9"/>
      <c r="C44" s="10" t="s">
        <v>366</v>
      </c>
      <c r="D44" s="10" t="s">
        <v>364</v>
      </c>
      <c r="E44" s="619" t="s">
        <v>26</v>
      </c>
      <c r="F44" s="619" t="s">
        <v>26</v>
      </c>
      <c r="G44" s="619" t="s">
        <v>26</v>
      </c>
      <c r="H44" s="619" t="s">
        <v>26</v>
      </c>
      <c r="I44" s="34">
        <f t="shared" si="10"/>
        <v>0</v>
      </c>
      <c r="J44" s="99" t="s">
        <v>26</v>
      </c>
      <c r="K44" s="99" t="s">
        <v>26</v>
      </c>
      <c r="L44" s="99" t="s">
        <v>26</v>
      </c>
      <c r="M44" s="34">
        <f t="shared" si="11"/>
        <v>0</v>
      </c>
      <c r="N44" s="35"/>
      <c r="O44" s="35"/>
      <c r="P44" s="35"/>
      <c r="Q44" s="34"/>
      <c r="R44" s="35"/>
      <c r="S44" s="35"/>
      <c r="T44" s="35"/>
      <c r="U44" s="34"/>
    </row>
    <row r="45" spans="2:21">
      <c r="B45" s="13"/>
      <c r="C45" s="14" t="s">
        <v>367</v>
      </c>
      <c r="D45" s="14" t="s">
        <v>364</v>
      </c>
      <c r="E45" s="108">
        <f t="shared" ref="E45:M45" si="14">SUM(E36:E44)</f>
        <v>7261.1833154999995</v>
      </c>
      <c r="F45" s="108">
        <f t="shared" si="14"/>
        <v>3965.6981819099997</v>
      </c>
      <c r="G45" s="108">
        <f t="shared" si="14"/>
        <v>32096.328503230005</v>
      </c>
      <c r="H45" s="108">
        <f t="shared" si="14"/>
        <v>15080.356694621907</v>
      </c>
      <c r="I45" s="73">
        <f t="shared" si="14"/>
        <v>58403.566695261907</v>
      </c>
      <c r="J45" s="107">
        <f t="shared" si="14"/>
        <v>6973</v>
      </c>
      <c r="K45" s="107">
        <f t="shared" si="14"/>
        <v>3524</v>
      </c>
      <c r="L45" s="108">
        <f t="shared" si="14"/>
        <v>8962</v>
      </c>
      <c r="M45" s="73">
        <f t="shared" si="14"/>
        <v>19459</v>
      </c>
      <c r="N45" s="61">
        <f t="shared" ref="N45:U45" si="15">SUM(N36:N43)</f>
        <v>7096.7935351209435</v>
      </c>
      <c r="O45" s="61">
        <f t="shared" si="15"/>
        <v>3757.8907688338941</v>
      </c>
      <c r="P45" s="61">
        <f t="shared" si="15"/>
        <v>3252.4674651939335</v>
      </c>
      <c r="Q45" s="73">
        <f t="shared" si="15"/>
        <v>14107.151769148772</v>
      </c>
      <c r="R45" s="61">
        <f t="shared" si="15"/>
        <v>6220.2027590008629</v>
      </c>
      <c r="S45" s="61">
        <f t="shared" si="15"/>
        <v>3658.9671290440338</v>
      </c>
      <c r="T45" s="61">
        <f t="shared" si="15"/>
        <v>548.51114402030544</v>
      </c>
      <c r="U45" s="73">
        <f t="shared" si="15"/>
        <v>10427.6810320652</v>
      </c>
    </row>
    <row r="46" spans="2:21">
      <c r="B46" s="9"/>
      <c r="C46" s="10" t="s">
        <v>282</v>
      </c>
      <c r="D46" s="10" t="s">
        <v>364</v>
      </c>
      <c r="E46" s="67">
        <v>31502.0579</v>
      </c>
      <c r="F46" s="67">
        <v>14302.990248</v>
      </c>
      <c r="G46" s="67">
        <v>448.01</v>
      </c>
      <c r="H46" s="67">
        <v>16533</v>
      </c>
      <c r="I46" s="34">
        <f>SUM(E46:H46)</f>
        <v>62786.058148000004</v>
      </c>
      <c r="J46" s="99">
        <v>29149</v>
      </c>
      <c r="K46" s="99">
        <v>14267</v>
      </c>
      <c r="L46" s="67">
        <v>32.24</v>
      </c>
      <c r="M46" s="34">
        <f>SUM(J46:L46)</f>
        <v>43448.24</v>
      </c>
      <c r="N46" s="35">
        <v>31366.875059999998</v>
      </c>
      <c r="O46" s="35">
        <v>14625.261504</v>
      </c>
      <c r="P46" s="35">
        <v>70</v>
      </c>
      <c r="Q46" s="34">
        <f>SUM(N46:P46)</f>
        <v>46062.136564</v>
      </c>
      <c r="R46" s="35">
        <v>29019</v>
      </c>
      <c r="S46" s="35">
        <v>15128.208149999999</v>
      </c>
      <c r="T46" s="35">
        <v>27.405000000000001</v>
      </c>
      <c r="U46" s="34">
        <f>SUM(R46:T46)</f>
        <v>44174.613149999997</v>
      </c>
    </row>
    <row r="47" spans="2:21">
      <c r="B47" s="13"/>
      <c r="C47" s="14" t="s">
        <v>368</v>
      </c>
      <c r="D47" s="14" t="s">
        <v>364</v>
      </c>
      <c r="E47" s="108">
        <f>E46</f>
        <v>31502.0579</v>
      </c>
      <c r="F47" s="108">
        <f>F46</f>
        <v>14302.990248</v>
      </c>
      <c r="G47" s="108">
        <f>G46</f>
        <v>448.01</v>
      </c>
      <c r="H47" s="108">
        <f>H46</f>
        <v>16533</v>
      </c>
      <c r="I47" s="73">
        <f>I46</f>
        <v>62786.058148000004</v>
      </c>
      <c r="J47" s="107">
        <f t="shared" ref="J47:U47" si="16">J46</f>
        <v>29149</v>
      </c>
      <c r="K47" s="107">
        <f t="shared" si="16"/>
        <v>14267</v>
      </c>
      <c r="L47" s="108">
        <f t="shared" si="16"/>
        <v>32.24</v>
      </c>
      <c r="M47" s="73">
        <f t="shared" si="16"/>
        <v>43448.24</v>
      </c>
      <c r="N47" s="61">
        <f t="shared" si="16"/>
        <v>31366.875059999998</v>
      </c>
      <c r="O47" s="61">
        <f t="shared" si="16"/>
        <v>14625.261504</v>
      </c>
      <c r="P47" s="61">
        <f t="shared" si="16"/>
        <v>70</v>
      </c>
      <c r="Q47" s="73">
        <f t="shared" si="16"/>
        <v>46062.136564</v>
      </c>
      <c r="R47" s="61">
        <f t="shared" si="16"/>
        <v>29019</v>
      </c>
      <c r="S47" s="61">
        <f t="shared" si="16"/>
        <v>15128.208149999999</v>
      </c>
      <c r="T47" s="61">
        <f t="shared" si="16"/>
        <v>27.405000000000001</v>
      </c>
      <c r="U47" s="73">
        <f t="shared" si="16"/>
        <v>44174.613149999997</v>
      </c>
    </row>
    <row r="48" spans="2:21">
      <c r="B48" s="13"/>
      <c r="C48" s="14" t="s">
        <v>369</v>
      </c>
      <c r="D48" s="14" t="s">
        <v>364</v>
      </c>
      <c r="E48" s="108">
        <f>E45+E47</f>
        <v>38763.241215499998</v>
      </c>
      <c r="F48" s="108">
        <f>F45+F47</f>
        <v>18268.688429909998</v>
      </c>
      <c r="G48" s="108">
        <f>G45+G47</f>
        <v>32544.338503230003</v>
      </c>
      <c r="H48" s="108">
        <f>H45+H47</f>
        <v>31613.356694621907</v>
      </c>
      <c r="I48" s="73">
        <f>+I47+I45</f>
        <v>121189.6248432619</v>
      </c>
      <c r="J48" s="107">
        <f>J45+J47</f>
        <v>36122</v>
      </c>
      <c r="K48" s="107">
        <f>K45+K47</f>
        <v>17791</v>
      </c>
      <c r="L48" s="108">
        <f>L45+L47</f>
        <v>8994.24</v>
      </c>
      <c r="M48" s="73">
        <f t="shared" ref="M48:U48" si="17">+M47+M45</f>
        <v>62907.24</v>
      </c>
      <c r="N48" s="61">
        <f t="shared" si="17"/>
        <v>38463.668595120944</v>
      </c>
      <c r="O48" s="61">
        <f t="shared" si="17"/>
        <v>18383.152272833893</v>
      </c>
      <c r="P48" s="61">
        <f t="shared" si="17"/>
        <v>3322.4674651939335</v>
      </c>
      <c r="Q48" s="73">
        <f t="shared" si="17"/>
        <v>60169.288333148768</v>
      </c>
      <c r="R48" s="61">
        <f t="shared" si="17"/>
        <v>35239.202759000866</v>
      </c>
      <c r="S48" s="61">
        <f t="shared" si="17"/>
        <v>18787.175279044033</v>
      </c>
      <c r="T48" s="61">
        <f t="shared" si="17"/>
        <v>575.91614402030541</v>
      </c>
      <c r="U48" s="73">
        <f t="shared" si="17"/>
        <v>54602.294182065198</v>
      </c>
    </row>
    <row r="49" spans="2:21" s="172" customFormat="1">
      <c r="B49" s="186"/>
      <c r="C49" s="174" t="s">
        <v>281</v>
      </c>
      <c r="D49" s="174" t="s">
        <v>308</v>
      </c>
      <c r="E49" s="265">
        <f>+Business!$D$29</f>
        <v>402992</v>
      </c>
      <c r="F49" s="265">
        <f>+Business!$E$29</f>
        <v>393940</v>
      </c>
      <c r="G49" s="265">
        <f>+Business!$G$29</f>
        <v>338252</v>
      </c>
      <c r="H49" s="402">
        <f>H30</f>
        <v>745618</v>
      </c>
      <c r="I49" s="185">
        <f>SUM(E49:H49)</f>
        <v>1880802</v>
      </c>
      <c r="J49" s="265">
        <f>+Business!$M$29</f>
        <v>353793</v>
      </c>
      <c r="K49" s="265">
        <f>+Business!$N$29</f>
        <v>427646</v>
      </c>
      <c r="L49" s="753" t="s">
        <v>26</v>
      </c>
      <c r="M49" s="185">
        <f>SUM(J49:L49)</f>
        <v>781439</v>
      </c>
      <c r="N49" s="266">
        <f>+Business!$U$29</f>
        <v>433409</v>
      </c>
      <c r="O49" s="266">
        <f>+Business!$V$29</f>
        <v>440973</v>
      </c>
      <c r="P49" s="265" t="s">
        <v>93</v>
      </c>
      <c r="Q49" s="185">
        <f>SUM(N49:P49)</f>
        <v>874382</v>
      </c>
      <c r="R49" s="270">
        <f>+Business!$AC$29</f>
        <v>412303</v>
      </c>
      <c r="S49" s="270">
        <f>+Business!$AD$29</f>
        <v>422239</v>
      </c>
      <c r="T49" s="270"/>
      <c r="U49" s="271">
        <f>R49+S49</f>
        <v>834542</v>
      </c>
    </row>
    <row r="50" spans="2:21" ht="28" customHeight="1">
      <c r="B50" s="249"/>
      <c r="C50" s="14" t="s">
        <v>370</v>
      </c>
      <c r="D50" s="14" t="s">
        <v>371</v>
      </c>
      <c r="E50" s="272">
        <f>E48/E49</f>
        <v>9.6188612219349268E-2</v>
      </c>
      <c r="F50" s="272">
        <f>F48/F49</f>
        <v>4.6374291592399856E-2</v>
      </c>
      <c r="G50" s="272">
        <f>G48/G49</f>
        <v>9.6213292170423237E-2</v>
      </c>
      <c r="H50" s="272">
        <f>H48/H49</f>
        <v>4.2398864692941837E-2</v>
      </c>
      <c r="I50" s="251">
        <f>I48/I49</f>
        <v>6.4435078675619178E-2</v>
      </c>
      <c r="J50" s="250">
        <f>SUM(J45,J47)/J49</f>
        <v>0.10209925012648639</v>
      </c>
      <c r="K50" s="250">
        <f>SUM(K45,K47)/K49</f>
        <v>4.160216627771568E-2</v>
      </c>
      <c r="L50" s="721"/>
      <c r="M50" s="251">
        <f>(J48+K48)/Business!T29</f>
        <v>6.8991949467584801E-2</v>
      </c>
      <c r="N50" s="247">
        <f>(N48)/Business!U29</f>
        <v>8.874681558325033E-2</v>
      </c>
      <c r="O50" s="250">
        <f>(O48)/Business!V29</f>
        <v>4.1687704854569088E-2</v>
      </c>
      <c r="P50" s="252" t="s">
        <v>93</v>
      </c>
      <c r="Q50" s="251">
        <f>(N48+O48)/Business!AB29</f>
        <v>6.5013713534764941E-2</v>
      </c>
      <c r="R50" s="247">
        <f>(R48)/Business!AC29</f>
        <v>8.5469188337220114E-2</v>
      </c>
      <c r="S50" s="247">
        <f>(S48)/Business!AD29</f>
        <v>4.449417339242475E-2</v>
      </c>
      <c r="T50" s="252" t="s">
        <v>93</v>
      </c>
      <c r="U50" s="251">
        <f>(R48+S48)/Business!AJ29</f>
        <v>6.4737758001448584E-2</v>
      </c>
    </row>
    <row r="51" spans="2:21" ht="28" customHeight="1">
      <c r="B51" s="13"/>
      <c r="C51" s="14" t="s">
        <v>372</v>
      </c>
      <c r="D51" s="14" t="s">
        <v>373</v>
      </c>
      <c r="E51" s="272">
        <f>+E48/Business!D35</f>
        <v>7.7297280534758331E-3</v>
      </c>
      <c r="F51" s="272">
        <f>+F48/Business!E35</f>
        <v>9.9831244285576107E-3</v>
      </c>
      <c r="G51" s="272">
        <f>+G48/Business!G35</f>
        <v>3.2420427628832606E-2</v>
      </c>
      <c r="H51" s="272">
        <f>+H48/Business!J35</f>
        <v>6.3715898572121133E-3</v>
      </c>
      <c r="I51" s="632">
        <f>(E48+F48+G48+H48)/(Business!D35+Business!E35+Business!G35+Business!J35)</f>
        <v>9.4603881295111467E-3</v>
      </c>
      <c r="J51" s="272">
        <f>+J48/Business!M35</f>
        <v>7.0488044137278598E-3</v>
      </c>
      <c r="K51" s="272">
        <f>+K48/Business!N35</f>
        <v>7.1998403902506936E-3</v>
      </c>
      <c r="L51" s="722"/>
      <c r="M51" s="251">
        <f>(J48+K48)/Business!T35</f>
        <v>7.0979400662279559E-3</v>
      </c>
      <c r="N51" s="247">
        <f>(N48)/Business!U35</f>
        <v>6.1037582131628562E-3</v>
      </c>
      <c r="O51" s="247">
        <f>(O48)/Business!V35</f>
        <v>7.6605852020347051E-3</v>
      </c>
      <c r="P51" s="252" t="s">
        <v>93</v>
      </c>
      <c r="Q51" s="251">
        <f>(N48+O48)/Business!AB35</f>
        <v>6.5331088394004052E-3</v>
      </c>
      <c r="R51" s="247">
        <f>(R48)/Business!AC35</f>
        <v>5.3397966071826834E-3</v>
      </c>
      <c r="S51" s="247">
        <f>(S48)/Business!AD35</f>
        <v>7.9340011786841989E-3</v>
      </c>
      <c r="T51" s="252" t="s">
        <v>93</v>
      </c>
      <c r="U51" s="251">
        <f>(R48+S48)/Business!AJ35</f>
        <v>6.0248311543622066E-3</v>
      </c>
    </row>
    <row r="52" spans="2:21">
      <c r="B52" s="13"/>
      <c r="C52" s="10" t="s">
        <v>374</v>
      </c>
      <c r="D52" s="10" t="s">
        <v>364</v>
      </c>
      <c r="E52" s="67">
        <v>11494.79</v>
      </c>
      <c r="F52" s="67">
        <v>5784.74</v>
      </c>
      <c r="G52" s="67">
        <v>3275.6</v>
      </c>
      <c r="H52" s="739" t="s">
        <v>263</v>
      </c>
      <c r="I52" s="633">
        <f t="shared" ref="I52:I57" si="18">SUM(E52:H52)</f>
        <v>20555.129999999997</v>
      </c>
      <c r="J52" s="253">
        <v>7149.91</v>
      </c>
      <c r="K52" s="253">
        <v>5682.12</v>
      </c>
      <c r="L52" s="753" t="s">
        <v>263</v>
      </c>
      <c r="M52" s="11">
        <f t="shared" ref="M52:M57" si="19">SUM(J52:L52)</f>
        <v>12832.029999999999</v>
      </c>
      <c r="N52" s="55">
        <v>8871.36</v>
      </c>
      <c r="O52" s="55">
        <v>4549.3</v>
      </c>
      <c r="P52" s="752" t="s">
        <v>375</v>
      </c>
      <c r="Q52" s="11">
        <f t="shared" ref="Q52:Q57" si="20">SUM(N52:P52)</f>
        <v>13420.66</v>
      </c>
      <c r="R52" s="17"/>
      <c r="S52" s="17"/>
      <c r="T52" s="17"/>
      <c r="U52" s="754" t="s">
        <v>263</v>
      </c>
    </row>
    <row r="53" spans="2:21" ht="15.75" customHeight="1">
      <c r="B53" s="13"/>
      <c r="C53" s="10" t="s">
        <v>376</v>
      </c>
      <c r="D53" s="10" t="s">
        <v>364</v>
      </c>
      <c r="E53" s="67">
        <v>12443.21</v>
      </c>
      <c r="F53" s="67">
        <v>5846.19</v>
      </c>
      <c r="G53" s="67">
        <v>9159.82</v>
      </c>
      <c r="H53" s="740"/>
      <c r="I53" s="633">
        <f t="shared" si="18"/>
        <v>27449.219999999998</v>
      </c>
      <c r="J53" s="39">
        <v>11140.21</v>
      </c>
      <c r="K53" s="39">
        <v>5503.19</v>
      </c>
      <c r="L53" s="721"/>
      <c r="M53" s="39">
        <f t="shared" si="19"/>
        <v>16643.399999999998</v>
      </c>
      <c r="N53" s="39">
        <v>12049.48</v>
      </c>
      <c r="O53" s="39">
        <v>5749.74</v>
      </c>
      <c r="P53" s="721"/>
      <c r="Q53" s="39">
        <f t="shared" si="20"/>
        <v>17799.22</v>
      </c>
      <c r="R53" s="17"/>
      <c r="S53" s="17"/>
      <c r="T53" s="17"/>
      <c r="U53" s="721"/>
    </row>
    <row r="54" spans="2:21" ht="15.75" customHeight="1">
      <c r="B54" s="13"/>
      <c r="C54" s="10" t="s">
        <v>377</v>
      </c>
      <c r="D54" s="10" t="s">
        <v>364</v>
      </c>
      <c r="E54" s="67">
        <v>746.44</v>
      </c>
      <c r="F54" s="67">
        <v>374.97</v>
      </c>
      <c r="G54" s="67">
        <v>194.73</v>
      </c>
      <c r="H54" s="740"/>
      <c r="I54" s="633">
        <f t="shared" si="18"/>
        <v>1316.14</v>
      </c>
      <c r="J54" s="253">
        <v>393.37</v>
      </c>
      <c r="K54" s="253">
        <v>215.09</v>
      </c>
      <c r="L54" s="721"/>
      <c r="M54" s="11">
        <f t="shared" si="19"/>
        <v>608.46</v>
      </c>
      <c r="N54" s="55">
        <v>567.88</v>
      </c>
      <c r="O54" s="55">
        <v>171.39</v>
      </c>
      <c r="P54" s="721"/>
      <c r="Q54" s="11">
        <f t="shared" si="20"/>
        <v>739.27</v>
      </c>
      <c r="R54" s="17"/>
      <c r="S54" s="17"/>
      <c r="T54" s="17"/>
      <c r="U54" s="721"/>
    </row>
    <row r="55" spans="2:21" ht="15.75" customHeight="1">
      <c r="B55" s="13"/>
      <c r="C55" s="10" t="s">
        <v>378</v>
      </c>
      <c r="D55" s="10" t="s">
        <v>364</v>
      </c>
      <c r="E55" s="113">
        <f>12.54+17.64</f>
        <v>30.18</v>
      </c>
      <c r="F55" s="113">
        <f>0.49+17.64</f>
        <v>18.13</v>
      </c>
      <c r="G55" s="113">
        <f>97.25+35.28</f>
        <v>132.53</v>
      </c>
      <c r="H55" s="740"/>
      <c r="I55" s="633">
        <f t="shared" si="18"/>
        <v>180.84</v>
      </c>
      <c r="J55" s="114">
        <v>57.364159500000014</v>
      </c>
      <c r="K55" s="114">
        <v>46.615809500000012</v>
      </c>
      <c r="L55" s="721"/>
      <c r="M55" s="11">
        <f t="shared" si="19"/>
        <v>103.97996900000003</v>
      </c>
      <c r="N55" s="119">
        <v>36.79</v>
      </c>
      <c r="O55" s="119">
        <v>28.24</v>
      </c>
      <c r="P55" s="721"/>
      <c r="Q55" s="11">
        <f t="shared" si="20"/>
        <v>65.03</v>
      </c>
      <c r="R55" s="17"/>
      <c r="S55" s="17"/>
      <c r="T55" s="17"/>
      <c r="U55" s="721"/>
    </row>
    <row r="56" spans="2:21" ht="15.75" customHeight="1">
      <c r="B56" s="13"/>
      <c r="C56" s="10" t="s">
        <v>379</v>
      </c>
      <c r="D56" s="10" t="s">
        <v>364</v>
      </c>
      <c r="E56" s="113">
        <v>283.81</v>
      </c>
      <c r="F56" s="113">
        <v>1.81</v>
      </c>
      <c r="G56" s="113">
        <v>61.07</v>
      </c>
      <c r="H56" s="740"/>
      <c r="I56" s="633">
        <f t="shared" si="18"/>
        <v>346.69</v>
      </c>
      <c r="J56" s="253">
        <v>141.98155199999999</v>
      </c>
      <c r="K56" s="253">
        <v>27.102624000000002</v>
      </c>
      <c r="L56" s="721"/>
      <c r="M56" s="11">
        <f t="shared" si="19"/>
        <v>169.08417599999999</v>
      </c>
      <c r="N56" s="55">
        <v>151.11000000000001</v>
      </c>
      <c r="O56" s="55">
        <v>70.28</v>
      </c>
      <c r="P56" s="721"/>
      <c r="Q56" s="11">
        <f t="shared" si="20"/>
        <v>221.39000000000001</v>
      </c>
      <c r="R56" s="17"/>
      <c r="S56" s="17"/>
      <c r="T56" s="17"/>
      <c r="U56" s="721"/>
    </row>
    <row r="57" spans="2:21" ht="15.75" customHeight="1">
      <c r="B57" s="13"/>
      <c r="C57" s="10" t="s">
        <v>380</v>
      </c>
      <c r="D57" s="10" t="s">
        <v>364</v>
      </c>
      <c r="E57" s="67">
        <v>10.82</v>
      </c>
      <c r="F57" s="67">
        <v>550.61</v>
      </c>
      <c r="G57" s="67">
        <v>391.39</v>
      </c>
      <c r="H57" s="740"/>
      <c r="I57" s="633">
        <f t="shared" si="18"/>
        <v>952.82</v>
      </c>
      <c r="J57" s="253">
        <v>7.38</v>
      </c>
      <c r="K57" s="253">
        <v>425.54</v>
      </c>
      <c r="L57" s="721"/>
      <c r="M57" s="11">
        <f t="shared" si="19"/>
        <v>432.92</v>
      </c>
      <c r="N57" s="55">
        <v>9.44</v>
      </c>
      <c r="O57" s="55">
        <v>509.73</v>
      </c>
      <c r="P57" s="722"/>
      <c r="Q57" s="11">
        <f t="shared" si="20"/>
        <v>519.17000000000007</v>
      </c>
      <c r="R57" s="17"/>
      <c r="S57" s="17"/>
      <c r="T57" s="17"/>
      <c r="U57" s="721"/>
    </row>
    <row r="58" spans="2:21" ht="15.75" customHeight="1">
      <c r="B58" s="13"/>
      <c r="C58" s="14" t="s">
        <v>381</v>
      </c>
      <c r="D58" s="14" t="s">
        <v>364</v>
      </c>
      <c r="E58" s="405">
        <f>SUM(E52:E57)</f>
        <v>25009.25</v>
      </c>
      <c r="F58" s="405">
        <f>SUM(F52:F57)</f>
        <v>12576.449999999999</v>
      </c>
      <c r="G58" s="405">
        <f>SUM(G52:G57)</f>
        <v>13215.14</v>
      </c>
      <c r="H58" s="740"/>
      <c r="I58" s="634">
        <f>SUM(I52:I57)</f>
        <v>50800.839999999989</v>
      </c>
      <c r="J58" s="254">
        <f>SUM(J52:J57)</f>
        <v>18890.215711500001</v>
      </c>
      <c r="K58" s="254">
        <f>SUM(K52:K57)</f>
        <v>11899.658433499999</v>
      </c>
      <c r="L58" s="722"/>
      <c r="M58" s="94">
        <f>SUM(M52:M57)</f>
        <v>30789.874144999994</v>
      </c>
      <c r="N58" s="96">
        <f>SUM(N52:N57)</f>
        <v>21686.06</v>
      </c>
      <c r="O58" s="96">
        <f>SUM(O52:O57)</f>
        <v>11078.68</v>
      </c>
      <c r="P58" s="96">
        <f>SUM(P52:P57)</f>
        <v>0</v>
      </c>
      <c r="Q58" s="94">
        <f>SUM(Q52:Q57)</f>
        <v>32764.739999999998</v>
      </c>
      <c r="R58" s="17"/>
      <c r="S58" s="17"/>
      <c r="T58" s="17"/>
      <c r="U58" s="722"/>
    </row>
    <row r="59" spans="2:21">
      <c r="B59" s="13"/>
      <c r="C59" s="14" t="s">
        <v>382</v>
      </c>
      <c r="D59" s="14" t="s">
        <v>364</v>
      </c>
      <c r="E59" s="405">
        <f>E45+E47+E58</f>
        <v>63772.491215499998</v>
      </c>
      <c r="F59" s="405">
        <f>F45+F47+F58</f>
        <v>30845.138429909995</v>
      </c>
      <c r="G59" s="405">
        <f>G45+G47+G58</f>
        <v>45759.478503229999</v>
      </c>
      <c r="H59" s="740"/>
      <c r="I59" s="635">
        <f>+I45+I47+I58</f>
        <v>171990.4648432619</v>
      </c>
      <c r="J59" s="254">
        <f>J45+J47+J58</f>
        <v>55012.215711500001</v>
      </c>
      <c r="K59" s="254">
        <f>K45+K47+K58</f>
        <v>29690.658433500001</v>
      </c>
      <c r="L59" s="232">
        <f>L45+L47+L58</f>
        <v>8994.24</v>
      </c>
      <c r="M59" s="18">
        <f>+M45+M47+M58</f>
        <v>93697.114145</v>
      </c>
      <c r="N59" s="17">
        <f>+N45+N47+N58</f>
        <v>60149.728595120949</v>
      </c>
      <c r="O59" s="17">
        <f>+O45+O47+O58</f>
        <v>29461.832272833894</v>
      </c>
      <c r="P59" s="17">
        <f>+P45+P47+P58</f>
        <v>3322.4674651939335</v>
      </c>
      <c r="Q59" s="18">
        <f>+Q45+Q47+Q58</f>
        <v>92934.028333148774</v>
      </c>
      <c r="R59" s="17">
        <f t="shared" ref="R59:U59" si="21">R47+R45</f>
        <v>35239.202759000866</v>
      </c>
      <c r="S59" s="17">
        <f t="shared" si="21"/>
        <v>18787.175279044033</v>
      </c>
      <c r="T59" s="17">
        <f t="shared" si="21"/>
        <v>575.91614402030541</v>
      </c>
      <c r="U59" s="18">
        <f t="shared" si="21"/>
        <v>54602.294182065198</v>
      </c>
    </row>
    <row r="60" spans="2:21" s="172" customFormat="1">
      <c r="B60" s="186"/>
      <c r="C60" s="174" t="s">
        <v>281</v>
      </c>
      <c r="D60" s="174" t="s">
        <v>308</v>
      </c>
      <c r="E60" s="265">
        <f>+Business!$D$29</f>
        <v>402992</v>
      </c>
      <c r="F60" s="265">
        <f>+Business!$E$29</f>
        <v>393940</v>
      </c>
      <c r="G60" s="265">
        <f>+Business!$G$29</f>
        <v>338252</v>
      </c>
      <c r="H60" s="740"/>
      <c r="I60" s="636">
        <f>SUM(E60:H60)</f>
        <v>1135184</v>
      </c>
      <c r="J60" s="265">
        <f>+Business!$M$29</f>
        <v>353793</v>
      </c>
      <c r="K60" s="265">
        <f>+Business!$N$29</f>
        <v>427646</v>
      </c>
      <c r="L60" s="232"/>
      <c r="M60" s="185">
        <f>SUM(J60:L60)</f>
        <v>781439</v>
      </c>
      <c r="N60" s="266">
        <f>+Business!$U$29</f>
        <v>433409</v>
      </c>
      <c r="O60" s="266">
        <f>+Business!$V$29</f>
        <v>440973</v>
      </c>
      <c r="P60" s="265" t="s">
        <v>93</v>
      </c>
      <c r="Q60" s="185">
        <f>SUM(N60:P60)</f>
        <v>874382</v>
      </c>
      <c r="R60" s="270">
        <f>+Business!$AC$29</f>
        <v>412303</v>
      </c>
      <c r="S60" s="270">
        <f>+Business!$AD$29</f>
        <v>422239</v>
      </c>
      <c r="T60" s="270"/>
      <c r="U60" s="271">
        <f>R60+S60</f>
        <v>834542</v>
      </c>
    </row>
    <row r="61" spans="2:21" s="262" customFormat="1" ht="30">
      <c r="B61" s="30"/>
      <c r="C61" s="15" t="s">
        <v>383</v>
      </c>
      <c r="D61" s="15" t="s">
        <v>371</v>
      </c>
      <c r="E61" s="279">
        <f>E59/E60</f>
        <v>0.15824753646598444</v>
      </c>
      <c r="F61" s="279">
        <f>F59/F60</f>
        <v>7.8299077092729846E-2</v>
      </c>
      <c r="G61" s="279">
        <f>G59/G60</f>
        <v>0.13528221120120501</v>
      </c>
      <c r="H61" s="740"/>
      <c r="I61" s="637">
        <f>(E59+F59+G59)/I60</f>
        <v>0.12366022437652398</v>
      </c>
      <c r="J61" s="275">
        <f>J59/Business!M29</f>
        <v>0.15549266297382933</v>
      </c>
      <c r="K61" s="275">
        <f>K59/Business!N29</f>
        <v>6.942812146845756E-2</v>
      </c>
      <c r="L61" s="273" t="s">
        <v>93</v>
      </c>
      <c r="M61" s="274">
        <f>(J59+K59)/Business!T29</f>
        <v>0.10839345636063724</v>
      </c>
      <c r="N61" s="276">
        <f>N59/Business!U29</f>
        <v>0.13878283237108816</v>
      </c>
      <c r="O61" s="276">
        <f>O59/Business!V29</f>
        <v>6.6810966369446417E-2</v>
      </c>
      <c r="P61" s="277" t="s">
        <v>26</v>
      </c>
      <c r="Q61" s="278">
        <f>(N59+O59)/Business!AB29</f>
        <v>0.10248559653327133</v>
      </c>
      <c r="R61" s="276">
        <f>R59/Business!AC29</f>
        <v>8.5469188337220114E-2</v>
      </c>
      <c r="S61" s="276">
        <f>S59/Business!AD29</f>
        <v>4.449417339242475E-2</v>
      </c>
      <c r="T61" s="277" t="s">
        <v>26</v>
      </c>
      <c r="U61" s="278">
        <f>(R59+S59)/Business!AJ29</f>
        <v>6.4737758001448584E-2</v>
      </c>
    </row>
    <row r="62" spans="2:21" s="262" customFormat="1" ht="30">
      <c r="B62" s="603"/>
      <c r="C62" s="604" t="s">
        <v>384</v>
      </c>
      <c r="D62" s="604" t="s">
        <v>373</v>
      </c>
      <c r="E62" s="605">
        <f>+E59/Business!D35</f>
        <v>1.2716790416158008E-2</v>
      </c>
      <c r="F62" s="605">
        <f>+F59/Business!E35</f>
        <v>1.6855662963616083E-2</v>
      </c>
      <c r="G62" s="605">
        <f>+G59/Business!G35</f>
        <v>4.5585251671342128E-2</v>
      </c>
      <c r="H62" s="740"/>
      <c r="I62" s="638">
        <f>(E59+F59+G59)/(Business!D35+Business!E35+Business!G35)</f>
        <v>1.7885612557727137E-2</v>
      </c>
      <c r="J62" s="606">
        <f>J59/Business!M35</f>
        <v>1.0735018795088045E-2</v>
      </c>
      <c r="K62" s="606">
        <f>K59/Business!N35</f>
        <v>1.201551356318648E-2</v>
      </c>
      <c r="L62" s="607" t="s">
        <v>93</v>
      </c>
      <c r="M62" s="608">
        <f>(J59+K59)/Business!T35</f>
        <v>1.1151594682515526E-2</v>
      </c>
      <c r="N62" s="609">
        <f>N59/Business!U35</f>
        <v>9.5450957576770842E-3</v>
      </c>
      <c r="O62" s="609">
        <f>O59/Business!V35</f>
        <v>1.2277267412272126E-2</v>
      </c>
      <c r="P62" s="610" t="s">
        <v>26</v>
      </c>
      <c r="Q62" s="611">
        <f>(N59+O59)/Business!AB35</f>
        <v>1.0298589639318304E-2</v>
      </c>
      <c r="R62" s="612">
        <f>R59/Business!AC35</f>
        <v>5.3397966071826834E-3</v>
      </c>
      <c r="S62" s="612">
        <f>S59/Business!AD35</f>
        <v>7.9340011786841989E-3</v>
      </c>
      <c r="T62" s="613" t="s">
        <v>26</v>
      </c>
      <c r="U62" s="611">
        <f>(R59+S59)/Business!AJ35</f>
        <v>6.0248311543622066E-3</v>
      </c>
    </row>
    <row r="63" spans="2:21" ht="13" customHeight="1">
      <c r="B63" s="738" t="s">
        <v>385</v>
      </c>
      <c r="C63" s="738"/>
      <c r="D63" s="305"/>
      <c r="E63" s="357"/>
      <c r="F63" s="378"/>
      <c r="G63" s="615"/>
      <c r="H63" s="378"/>
      <c r="I63" s="358"/>
      <c r="J63" s="616"/>
      <c r="K63" s="616"/>
      <c r="L63" s="378"/>
      <c r="M63" s="358"/>
      <c r="N63" s="617"/>
      <c r="O63" s="618"/>
      <c r="P63" s="356"/>
      <c r="Q63" s="356"/>
      <c r="R63" s="356"/>
      <c r="S63" s="356"/>
      <c r="T63" s="356"/>
      <c r="U63" s="356"/>
    </row>
    <row r="64" spans="2:21" ht="17" thickBot="1">
      <c r="B64" s="285"/>
      <c r="C64" s="614"/>
      <c r="D64" s="103"/>
      <c r="E64" s="286"/>
      <c r="F64" s="302"/>
      <c r="G64" s="294"/>
      <c r="H64" s="302"/>
      <c r="I64" s="288"/>
      <c r="J64" s="362"/>
      <c r="K64" s="362"/>
      <c r="L64" s="302"/>
      <c r="M64" s="288"/>
      <c r="N64" s="303"/>
      <c r="O64" s="304"/>
      <c r="P64" s="285"/>
      <c r="Q64" s="285"/>
      <c r="R64" s="285"/>
      <c r="S64" s="285"/>
      <c r="T64" s="285"/>
      <c r="U64" s="285"/>
    </row>
    <row r="65" spans="2:21">
      <c r="B65" s="30" t="s">
        <v>612</v>
      </c>
      <c r="C65" s="10"/>
      <c r="D65" s="10"/>
      <c r="E65" s="371"/>
      <c r="F65" s="371"/>
      <c r="G65" s="102"/>
      <c r="H65" s="102"/>
      <c r="I65" s="102"/>
      <c r="J65" s="104"/>
      <c r="K65" s="104"/>
      <c r="L65" s="102"/>
      <c r="M65" s="102"/>
      <c r="N65" s="9"/>
      <c r="O65" s="9"/>
      <c r="P65" s="9"/>
      <c r="Q65" s="9"/>
      <c r="R65" s="9"/>
      <c r="S65" s="9"/>
      <c r="T65" s="9"/>
      <c r="U65" s="9"/>
    </row>
    <row r="66" spans="2:21" ht="30">
      <c r="B66" s="30"/>
      <c r="C66" s="10" t="s">
        <v>386</v>
      </c>
      <c r="D66" s="10" t="s">
        <v>306</v>
      </c>
      <c r="E66" s="403">
        <v>0</v>
      </c>
      <c r="F66" s="403">
        <v>0</v>
      </c>
      <c r="G66" s="403">
        <v>0</v>
      </c>
      <c r="H66" s="403">
        <v>0</v>
      </c>
      <c r="I66" s="280">
        <f t="shared" ref="I66:I75" si="22">SUM(E66:H66)</f>
        <v>0</v>
      </c>
      <c r="J66" s="104"/>
      <c r="K66" s="104"/>
      <c r="L66" s="323"/>
      <c r="M66" s="408">
        <v>0</v>
      </c>
      <c r="N66" s="408">
        <v>0</v>
      </c>
      <c r="O66" s="408">
        <v>0</v>
      </c>
      <c r="P66" s="408">
        <v>0</v>
      </c>
      <c r="Q66" s="408">
        <v>0</v>
      </c>
      <c r="R66" s="408">
        <v>0</v>
      </c>
      <c r="S66" s="408">
        <v>0</v>
      </c>
      <c r="T66" s="408">
        <v>0</v>
      </c>
      <c r="U66" s="408">
        <v>0</v>
      </c>
    </row>
    <row r="67" spans="2:21">
      <c r="B67" s="9"/>
      <c r="C67" s="10" t="s">
        <v>387</v>
      </c>
      <c r="D67" s="10" t="s">
        <v>349</v>
      </c>
      <c r="E67" s="387">
        <f>29836.0648856143+2644.5162816528+759.9048255+137.821068</f>
        <v>33378.307060767096</v>
      </c>
      <c r="F67" s="387">
        <v>20562.013973994301</v>
      </c>
      <c r="G67" s="380">
        <v>174222.25</v>
      </c>
      <c r="H67" s="741" t="s">
        <v>263</v>
      </c>
      <c r="I67" s="633">
        <f t="shared" si="22"/>
        <v>228162.57103476138</v>
      </c>
      <c r="J67" s="253">
        <f>29468.35+948.75+137.49</f>
        <v>30554.59</v>
      </c>
      <c r="K67" s="253">
        <f>17141.06+1001.7+2.13</f>
        <v>18144.890000000003</v>
      </c>
      <c r="L67" s="720" t="s">
        <v>26</v>
      </c>
      <c r="M67" s="11">
        <f>SUM(J67:L67)</f>
        <v>48699.48</v>
      </c>
      <c r="N67" s="39">
        <v>33624.589999999997</v>
      </c>
      <c r="O67" s="39">
        <v>19631</v>
      </c>
      <c r="P67" s="720" t="s">
        <v>26</v>
      </c>
      <c r="Q67" s="255">
        <f t="shared" ref="Q67:Q75" si="23">SUM(N67:P67)</f>
        <v>53255.59</v>
      </c>
      <c r="R67" s="12">
        <v>3626.1574739602756</v>
      </c>
      <c r="S67" s="12">
        <v>824.22835834975001</v>
      </c>
      <c r="T67" s="720" t="s">
        <v>26</v>
      </c>
      <c r="U67" s="11">
        <f t="shared" ref="U67:U75" si="24">SUM(R67:T67)</f>
        <v>4450.3858323100258</v>
      </c>
    </row>
    <row r="68" spans="2:21">
      <c r="B68" s="9"/>
      <c r="C68" s="10" t="s">
        <v>388</v>
      </c>
      <c r="D68" s="10" t="s">
        <v>349</v>
      </c>
      <c r="E68" s="387">
        <v>152857.50189653001</v>
      </c>
      <c r="F68" s="387">
        <v>93057.265184751595</v>
      </c>
      <c r="G68" s="380">
        <v>808455.32</v>
      </c>
      <c r="H68" s="742"/>
      <c r="I68" s="633">
        <f t="shared" si="22"/>
        <v>1054370.0870812815</v>
      </c>
      <c r="J68" s="253">
        <f>136794.94+11877.15+1562.09+826.35</f>
        <v>151060.53</v>
      </c>
      <c r="K68" s="253">
        <f>79570.47+1649.27+12.82</f>
        <v>81232.560000000012</v>
      </c>
      <c r="L68" s="721"/>
      <c r="M68" s="11">
        <f>SUM(J68:L68)</f>
        <v>232293.09000000003</v>
      </c>
      <c r="N68" s="39">
        <v>153161.23000000001</v>
      </c>
      <c r="O68" s="39">
        <v>88071.53</v>
      </c>
      <c r="P68" s="721"/>
      <c r="Q68" s="255">
        <f t="shared" si="23"/>
        <v>241232.76</v>
      </c>
      <c r="R68" s="12">
        <v>13575.328488335639</v>
      </c>
      <c r="S68" s="12">
        <v>1367.7763504819791</v>
      </c>
      <c r="T68" s="721"/>
      <c r="U68" s="11">
        <f t="shared" si="24"/>
        <v>14943.104838817619</v>
      </c>
    </row>
    <row r="69" spans="2:21">
      <c r="B69" s="9"/>
      <c r="C69" s="10" t="s">
        <v>389</v>
      </c>
      <c r="D69" s="10" t="s">
        <v>349</v>
      </c>
      <c r="E69" s="387">
        <v>9991.8939277790996</v>
      </c>
      <c r="F69" s="387">
        <v>6112.661732177</v>
      </c>
      <c r="G69" s="380">
        <v>53163.15</v>
      </c>
      <c r="H69" s="742"/>
      <c r="I69" s="633">
        <f t="shared" si="22"/>
        <v>69267.705659956104</v>
      </c>
      <c r="J69" s="253">
        <f>8995.61+781.04+95.83</f>
        <v>9872.4800000000014</v>
      </c>
      <c r="K69" s="253">
        <f>5232.54+101.18</f>
        <v>5333.72</v>
      </c>
      <c r="L69" s="721"/>
      <c r="M69" s="11">
        <f>SUM(J69:L69)</f>
        <v>15206.2</v>
      </c>
      <c r="N69" s="39">
        <v>10007.48</v>
      </c>
      <c r="O69" s="39">
        <v>5783.15</v>
      </c>
      <c r="P69" s="721"/>
      <c r="Q69" s="255">
        <f t="shared" si="23"/>
        <v>15790.63</v>
      </c>
      <c r="R69" s="12">
        <v>0</v>
      </c>
      <c r="S69" s="12">
        <v>0</v>
      </c>
      <c r="T69" s="721"/>
      <c r="U69" s="11">
        <f t="shared" si="24"/>
        <v>0</v>
      </c>
    </row>
    <row r="70" spans="2:21">
      <c r="B70" s="9"/>
      <c r="C70" s="10" t="s">
        <v>390</v>
      </c>
      <c r="D70" s="10" t="s">
        <v>349</v>
      </c>
      <c r="E70" s="387">
        <v>10700.0690546347</v>
      </c>
      <c r="F70" s="387">
        <v>6529.0851882832003</v>
      </c>
      <c r="G70" s="380">
        <v>56828.93</v>
      </c>
      <c r="H70" s="742"/>
      <c r="I70" s="633">
        <f t="shared" si="22"/>
        <v>74058.084242917903</v>
      </c>
      <c r="J70" s="253">
        <f>9616+834.91+95.83+24.3</f>
        <v>10571.039999999999</v>
      </c>
      <c r="K70" s="253">
        <f>5593.41+101.18+0.38</f>
        <v>5694.97</v>
      </c>
      <c r="L70" s="721"/>
      <c r="M70" s="11">
        <f>SUM(J70:L70)</f>
        <v>16266.009999999998</v>
      </c>
      <c r="N70" s="39">
        <v>10715.8</v>
      </c>
      <c r="O70" s="39">
        <v>6175.3</v>
      </c>
      <c r="P70" s="721"/>
      <c r="Q70" s="255">
        <f t="shared" si="23"/>
        <v>16891.099999999999</v>
      </c>
      <c r="R70" s="12">
        <v>25.528300000000002</v>
      </c>
      <c r="S70" s="12">
        <v>0.43390899999999999</v>
      </c>
      <c r="T70" s="721"/>
      <c r="U70" s="11">
        <f t="shared" si="24"/>
        <v>25.962209000000001</v>
      </c>
    </row>
    <row r="71" spans="2:21">
      <c r="B71" s="9"/>
      <c r="C71" s="10" t="s">
        <v>391</v>
      </c>
      <c r="D71" s="10" t="s">
        <v>349</v>
      </c>
      <c r="E71" s="404">
        <v>2.8268383E-3</v>
      </c>
      <c r="F71" s="404">
        <v>1.7196977999999999E-3</v>
      </c>
      <c r="G71" s="404">
        <v>1.52E-2</v>
      </c>
      <c r="H71" s="742"/>
      <c r="I71" s="639">
        <f t="shared" si="22"/>
        <v>1.97465361E-2</v>
      </c>
      <c r="J71" s="38">
        <v>2E-3</v>
      </c>
      <c r="K71" s="38">
        <v>1E-3</v>
      </c>
      <c r="L71" s="721"/>
      <c r="M71" s="11">
        <f>SUM(J71:L71)</f>
        <v>3.0000000000000001E-3</v>
      </c>
      <c r="N71" s="12">
        <v>1.97422752E-4</v>
      </c>
      <c r="O71" s="12">
        <v>0</v>
      </c>
      <c r="P71" s="721"/>
      <c r="Q71" s="11">
        <f t="shared" si="23"/>
        <v>1.97422752E-4</v>
      </c>
      <c r="R71" s="12">
        <v>2.05175004E-4</v>
      </c>
      <c r="S71" s="12">
        <v>0</v>
      </c>
      <c r="T71" s="721"/>
      <c r="U71" s="11">
        <f t="shared" si="24"/>
        <v>2.05175004E-4</v>
      </c>
    </row>
    <row r="72" spans="2:21">
      <c r="B72" s="9"/>
      <c r="C72" s="10" t="s">
        <v>392</v>
      </c>
      <c r="D72" s="10" t="s">
        <v>349</v>
      </c>
      <c r="E72" s="404" t="s">
        <v>263</v>
      </c>
      <c r="F72" s="404">
        <f>(((40*60*16*365)*0.008)/1000)/1000</f>
        <v>0.11212800000000001</v>
      </c>
      <c r="G72" s="404">
        <f>(((75.6*60*16*365)*0.036)/1000)/1000</f>
        <v>0.95364863999999994</v>
      </c>
      <c r="H72" s="742"/>
      <c r="I72" s="640">
        <f t="shared" si="22"/>
        <v>1.0657766399999999</v>
      </c>
      <c r="J72" s="723" t="s">
        <v>263</v>
      </c>
      <c r="K72" s="724"/>
      <c r="L72" s="721"/>
      <c r="M72" s="749" t="s">
        <v>263</v>
      </c>
      <c r="N72" s="748" t="s">
        <v>263</v>
      </c>
      <c r="O72" s="724"/>
      <c r="P72" s="721"/>
      <c r="Q72" s="11">
        <f t="shared" si="23"/>
        <v>0</v>
      </c>
      <c r="R72" s="748" t="s">
        <v>263</v>
      </c>
      <c r="S72" s="724"/>
      <c r="T72" s="721"/>
      <c r="U72" s="11">
        <f t="shared" si="24"/>
        <v>0</v>
      </c>
    </row>
    <row r="73" spans="2:21" ht="16" customHeight="1">
      <c r="B73" s="9"/>
      <c r="C73" s="10" t="s">
        <v>393</v>
      </c>
      <c r="D73" s="10" t="s">
        <v>394</v>
      </c>
      <c r="E73" s="404">
        <v>176.19364340999999</v>
      </c>
      <c r="F73" s="404">
        <v>107.2034606365</v>
      </c>
      <c r="G73" s="404">
        <v>947.55622290839995</v>
      </c>
      <c r="H73" s="742"/>
      <c r="I73" s="640">
        <f t="shared" si="22"/>
        <v>1230.9533269548999</v>
      </c>
      <c r="J73" s="725"/>
      <c r="K73" s="726"/>
      <c r="L73" s="721"/>
      <c r="M73" s="750"/>
      <c r="N73" s="725"/>
      <c r="O73" s="726"/>
      <c r="P73" s="721"/>
      <c r="Q73" s="11">
        <f t="shared" si="23"/>
        <v>0</v>
      </c>
      <c r="R73" s="725"/>
      <c r="S73" s="726"/>
      <c r="T73" s="721"/>
      <c r="U73" s="11">
        <f t="shared" si="24"/>
        <v>0</v>
      </c>
    </row>
    <row r="74" spans="2:21" ht="16" customHeight="1">
      <c r="B74" s="9"/>
      <c r="C74" s="10" t="s">
        <v>395</v>
      </c>
      <c r="D74" s="10" t="s">
        <v>349</v>
      </c>
      <c r="E74" s="404">
        <v>6.2805137676999996</v>
      </c>
      <c r="F74" s="404">
        <v>6.3040525167999997</v>
      </c>
      <c r="G74" s="404">
        <v>4.5009397249000003</v>
      </c>
      <c r="H74" s="742"/>
      <c r="I74" s="640">
        <f t="shared" si="22"/>
        <v>17.0855060094</v>
      </c>
      <c r="J74" s="725"/>
      <c r="K74" s="726"/>
      <c r="L74" s="721"/>
      <c r="M74" s="750"/>
      <c r="N74" s="725"/>
      <c r="O74" s="726"/>
      <c r="P74" s="721"/>
      <c r="Q74" s="11">
        <f t="shared" si="23"/>
        <v>0</v>
      </c>
      <c r="R74" s="725"/>
      <c r="S74" s="726"/>
      <c r="T74" s="721"/>
      <c r="U74" s="11">
        <f t="shared" si="24"/>
        <v>0</v>
      </c>
    </row>
    <row r="75" spans="2:21" ht="16" customHeight="1">
      <c r="B75" s="9"/>
      <c r="C75" s="10" t="s">
        <v>396</v>
      </c>
      <c r="D75" s="10" t="s">
        <v>349</v>
      </c>
      <c r="E75" s="404">
        <v>1.2821656818</v>
      </c>
      <c r="F75" s="404">
        <v>1.3475724859</v>
      </c>
      <c r="G75" s="404">
        <v>0.19874714020000001</v>
      </c>
      <c r="H75" s="743"/>
      <c r="I75" s="640">
        <f t="shared" si="22"/>
        <v>2.8284853079000003</v>
      </c>
      <c r="J75" s="727"/>
      <c r="K75" s="728"/>
      <c r="L75" s="722"/>
      <c r="M75" s="751"/>
      <c r="N75" s="727"/>
      <c r="O75" s="728"/>
      <c r="P75" s="722"/>
      <c r="Q75" s="11">
        <f t="shared" si="23"/>
        <v>0</v>
      </c>
      <c r="R75" s="727"/>
      <c r="S75" s="728"/>
      <c r="T75" s="722"/>
      <c r="U75" s="11">
        <f t="shared" si="24"/>
        <v>0</v>
      </c>
    </row>
    <row r="76" spans="2:21">
      <c r="B76" s="744" t="s">
        <v>610</v>
      </c>
      <c r="C76" s="744"/>
      <c r="D76" s="744"/>
      <c r="E76" s="744"/>
      <c r="F76" s="744"/>
      <c r="G76" s="744"/>
      <c r="H76" s="744"/>
    </row>
    <row r="77" spans="2:21" ht="10" customHeight="1" thickBot="1">
      <c r="B77" s="285"/>
      <c r="C77" s="614"/>
      <c r="D77" s="103"/>
      <c r="E77" s="286"/>
      <c r="F77" s="302"/>
      <c r="G77" s="294"/>
      <c r="H77" s="302"/>
      <c r="I77" s="288"/>
      <c r="J77" s="362"/>
      <c r="K77" s="362"/>
      <c r="L77" s="302"/>
      <c r="M77" s="288"/>
      <c r="N77" s="303"/>
      <c r="O77" s="304"/>
      <c r="P77" s="285"/>
      <c r="Q77" s="285"/>
      <c r="R77" s="285"/>
      <c r="S77" s="285"/>
      <c r="T77" s="285"/>
      <c r="U77" s="285"/>
    </row>
  </sheetData>
  <sheetProtection algorithmName="SHA-512" hashValue="6bw5S8kMmqXrMELxhsGRp9fvHs8ejRvTYKYzTR/V2wCZQ5/ZugwAvhwNtjlrACelNH0dEQ9PKJo+ajBQ4mhU8A==" saltValue="m0vNiL/SRV2OiPDFYJMeRA==" spinCount="100000" sheet="1" objects="1" scenarios="1"/>
  <mergeCells count="29">
    <mergeCell ref="B76:H76"/>
    <mergeCell ref="M15:M17"/>
    <mergeCell ref="Q15:Q17"/>
    <mergeCell ref="U15:U17"/>
    <mergeCell ref="P67:P75"/>
    <mergeCell ref="T67:T75"/>
    <mergeCell ref="R72:S75"/>
    <mergeCell ref="N72:O75"/>
    <mergeCell ref="M72:M75"/>
    <mergeCell ref="P52:P57"/>
    <mergeCell ref="L49:L51"/>
    <mergeCell ref="L52:L58"/>
    <mergeCell ref="U52:U58"/>
    <mergeCell ref="L67:L75"/>
    <mergeCell ref="J72:K75"/>
    <mergeCell ref="B4:C4"/>
    <mergeCell ref="L10:L12"/>
    <mergeCell ref="J15:J17"/>
    <mergeCell ref="L15:L17"/>
    <mergeCell ref="L30:L32"/>
    <mergeCell ref="E15:E17"/>
    <mergeCell ref="H15:H17"/>
    <mergeCell ref="G15:G17"/>
    <mergeCell ref="F15:F17"/>
    <mergeCell ref="K15:K17"/>
    <mergeCell ref="B18:U18"/>
    <mergeCell ref="B63:C63"/>
    <mergeCell ref="H52:H62"/>
    <mergeCell ref="H67:H75"/>
  </mergeCells>
  <conditionalFormatting sqref="A30">
    <cfRule type="cellIs" dxfId="5" priority="3" operator="equal">
      <formula>"✗"</formula>
    </cfRule>
  </conditionalFormatting>
  <conditionalFormatting sqref="A49">
    <cfRule type="cellIs" dxfId="4" priority="2" operator="equal">
      <formula>"✗"</formula>
    </cfRule>
  </conditionalFormatting>
  <conditionalFormatting sqref="A60">
    <cfRule type="cellIs" dxfId="3" priority="1" operator="equal">
      <formula>"✗"</formula>
    </cfRule>
  </conditionalFormatting>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A2AA-3C74-4A4E-AE74-C2A7D6518668}">
  <dimension ref="B1:V98"/>
  <sheetViews>
    <sheetView showGridLines="0" workbookViewId="0">
      <selection activeCell="B2" sqref="B2:C2"/>
    </sheetView>
  </sheetViews>
  <sheetFormatPr baseColWidth="10" defaultColWidth="11.1640625" defaultRowHeight="16"/>
  <cols>
    <col min="1" max="1" width="3.5" customWidth="1"/>
    <col min="2" max="2" width="6.6640625" customWidth="1"/>
    <col min="3" max="3" width="63" customWidth="1"/>
    <col min="4" max="4" width="12.1640625" customWidth="1"/>
    <col min="5" max="9" width="15" customWidth="1"/>
    <col min="10" max="12" width="15" hidden="1" customWidth="1"/>
    <col min="13" max="13" width="15" customWidth="1"/>
    <col min="14" max="16" width="15" hidden="1" customWidth="1"/>
    <col min="17" max="17" width="15" customWidth="1"/>
    <col min="18" max="20" width="15" hidden="1" customWidth="1"/>
    <col min="21" max="21" width="15" customWidth="1"/>
    <col min="22" max="22" width="36" customWidth="1"/>
    <col min="23" max="27" width="10.83203125" customWidth="1"/>
  </cols>
  <sheetData>
    <row r="1" spans="2:21" ht="67" customHeight="1"/>
    <row r="2" spans="2:21">
      <c r="B2" s="643" t="s">
        <v>397</v>
      </c>
      <c r="C2" s="644"/>
      <c r="D2" s="282"/>
      <c r="E2" s="282"/>
      <c r="F2" s="282"/>
      <c r="G2" s="282"/>
      <c r="H2" s="282"/>
      <c r="I2" s="282"/>
      <c r="J2" s="282"/>
      <c r="K2" s="282"/>
      <c r="L2" s="282"/>
      <c r="M2" s="282"/>
      <c r="N2" s="282"/>
      <c r="O2" s="282"/>
      <c r="P2" s="282"/>
      <c r="Q2" s="282"/>
      <c r="R2" s="282"/>
      <c r="S2" s="282"/>
      <c r="T2" s="282"/>
      <c r="U2" s="282"/>
    </row>
    <row r="3" spans="2:21">
      <c r="B3" s="4"/>
      <c r="C3" s="8"/>
      <c r="D3" s="4"/>
      <c r="E3" s="4"/>
      <c r="F3" s="4"/>
      <c r="G3" s="4"/>
      <c r="H3" s="4"/>
      <c r="I3" s="4"/>
      <c r="J3" s="4"/>
      <c r="K3" s="4"/>
      <c r="L3" s="4"/>
      <c r="M3" s="4"/>
      <c r="N3" s="4"/>
      <c r="O3" s="4"/>
      <c r="P3" s="4"/>
      <c r="Q3" s="4"/>
      <c r="R3" s="4"/>
      <c r="S3" s="4"/>
      <c r="T3" s="4"/>
      <c r="U3" s="4"/>
    </row>
    <row r="4" spans="2:21">
      <c r="B4" s="645" t="s">
        <v>5</v>
      </c>
      <c r="C4" s="644"/>
      <c r="D4" s="283" t="s">
        <v>287</v>
      </c>
      <c r="E4" s="287" t="s">
        <v>19</v>
      </c>
      <c r="F4" s="287" t="s">
        <v>20</v>
      </c>
      <c r="G4" s="287" t="s">
        <v>21</v>
      </c>
      <c r="H4" s="287" t="s">
        <v>61</v>
      </c>
      <c r="I4" s="289" t="s">
        <v>6</v>
      </c>
      <c r="J4" s="287" t="s">
        <v>19</v>
      </c>
      <c r="K4" s="287" t="s">
        <v>20</v>
      </c>
      <c r="L4" s="287" t="s">
        <v>21</v>
      </c>
      <c r="M4" s="289" t="s">
        <v>7</v>
      </c>
      <c r="N4" s="287" t="s">
        <v>19</v>
      </c>
      <c r="O4" s="287" t="s">
        <v>20</v>
      </c>
      <c r="P4" s="287" t="s">
        <v>21</v>
      </c>
      <c r="Q4" s="289" t="s">
        <v>8</v>
      </c>
      <c r="R4" s="287" t="s">
        <v>19</v>
      </c>
      <c r="S4" s="287" t="s">
        <v>20</v>
      </c>
      <c r="T4" s="287" t="s">
        <v>21</v>
      </c>
      <c r="U4" s="289" t="s">
        <v>68</v>
      </c>
    </row>
    <row r="5" spans="2:21">
      <c r="B5" s="7" t="s">
        <v>398</v>
      </c>
      <c r="C5" s="8"/>
      <c r="D5" s="8"/>
      <c r="E5" s="8"/>
      <c r="F5" s="8"/>
      <c r="G5" s="8"/>
      <c r="H5" s="8"/>
      <c r="I5" s="8"/>
      <c r="J5" s="8"/>
      <c r="K5" s="8"/>
      <c r="L5" s="8"/>
      <c r="M5" s="8"/>
      <c r="N5" s="8"/>
      <c r="O5" s="8"/>
      <c r="P5" s="8"/>
      <c r="Q5" s="4"/>
      <c r="R5" s="4"/>
      <c r="S5" s="4"/>
      <c r="T5" s="4"/>
      <c r="U5" s="4"/>
    </row>
    <row r="6" spans="2:21">
      <c r="B6" s="9"/>
      <c r="C6" s="10" t="s">
        <v>399</v>
      </c>
      <c r="D6" s="10" t="s">
        <v>349</v>
      </c>
      <c r="E6" s="55">
        <v>91786.98</v>
      </c>
      <c r="F6" s="410">
        <f xml:space="preserve"> 100971.73-29630.55</f>
        <v>71341.179999999993</v>
      </c>
      <c r="G6" s="410">
        <v>58788</v>
      </c>
      <c r="H6" s="55">
        <f>601443-283141</f>
        <v>318302</v>
      </c>
      <c r="I6" s="76">
        <f>SUM(E6:H6)</f>
        <v>540218.15999999992</v>
      </c>
      <c r="J6" s="55">
        <v>79600</v>
      </c>
      <c r="K6" s="55">
        <v>72701.75</v>
      </c>
      <c r="L6" s="55">
        <f>19060-13520</f>
        <v>5540</v>
      </c>
      <c r="M6" s="76">
        <f>SUM(J6:L6)</f>
        <v>157841.75</v>
      </c>
      <c r="N6" s="55">
        <v>109781</v>
      </c>
      <c r="O6" s="55">
        <v>2194</v>
      </c>
      <c r="P6" s="55">
        <v>160</v>
      </c>
      <c r="Q6" s="76">
        <f>SUM(N6:P6)</f>
        <v>112135</v>
      </c>
      <c r="R6" s="55">
        <v>82253.5</v>
      </c>
      <c r="S6" s="55">
        <v>24454</v>
      </c>
      <c r="T6" s="55">
        <v>88.5</v>
      </c>
      <c r="U6" s="76">
        <f>SUM(R6:T6)</f>
        <v>106796</v>
      </c>
    </row>
    <row r="7" spans="2:21">
      <c r="B7" s="9"/>
      <c r="C7" s="10" t="s">
        <v>400</v>
      </c>
      <c r="D7" s="10" t="s">
        <v>349</v>
      </c>
      <c r="E7" s="55">
        <v>29231</v>
      </c>
      <c r="F7" s="55">
        <v>29630.55</v>
      </c>
      <c r="G7" s="55">
        <v>41173.199999999997</v>
      </c>
      <c r="H7" s="55">
        <v>31390</v>
      </c>
      <c r="I7" s="76">
        <f>SUM(E7:H7)</f>
        <v>131424.75</v>
      </c>
      <c r="J7" s="55">
        <v>26072</v>
      </c>
      <c r="K7" s="55">
        <v>23005.96</v>
      </c>
      <c r="L7" s="55">
        <f>10120+3400</f>
        <v>13520</v>
      </c>
      <c r="M7" s="76">
        <f>SUM(J7:L7)</f>
        <v>62597.96</v>
      </c>
      <c r="N7" s="55">
        <v>28490</v>
      </c>
      <c r="O7" s="55">
        <v>54657</v>
      </c>
      <c r="P7" s="55">
        <v>4909</v>
      </c>
      <c r="Q7" s="76">
        <f>SUM(N7:P7)</f>
        <v>88056</v>
      </c>
      <c r="R7" s="55">
        <v>40870</v>
      </c>
      <c r="S7" s="55">
        <v>27596.73</v>
      </c>
      <c r="T7" s="55">
        <v>234.5</v>
      </c>
      <c r="U7" s="76">
        <f>SUM(R7:T7)</f>
        <v>68701.23</v>
      </c>
    </row>
    <row r="8" spans="2:21">
      <c r="B8" s="13"/>
      <c r="C8" s="14" t="s">
        <v>401</v>
      </c>
      <c r="D8" s="14" t="s">
        <v>349</v>
      </c>
      <c r="E8" s="115">
        <f>SUM(E6:E7)</f>
        <v>121017.98</v>
      </c>
      <c r="F8" s="115">
        <f>SUM(F6:F7)</f>
        <v>100971.73</v>
      </c>
      <c r="G8" s="115">
        <f>SUM(G6:G7)</f>
        <v>99961.2</v>
      </c>
      <c r="H8" s="115">
        <f>SUM(H6:H7)</f>
        <v>349692</v>
      </c>
      <c r="I8" s="359">
        <f>SUM(E8:H8)</f>
        <v>671642.90999999992</v>
      </c>
      <c r="J8" s="115">
        <f>SUM(J6:J7)</f>
        <v>105672</v>
      </c>
      <c r="K8" s="115">
        <f>SUM(K6:K7)</f>
        <v>95707.709999999992</v>
      </c>
      <c r="L8" s="115">
        <f>SUM(L6:L7)</f>
        <v>19060</v>
      </c>
      <c r="M8" s="100">
        <f>SUM(J8+K8)</f>
        <v>201379.71</v>
      </c>
      <c r="N8" s="96">
        <f>SUM(N6:N7)</f>
        <v>138271</v>
      </c>
      <c r="O8" s="96">
        <f>SUM(O6:O7)</f>
        <v>56851</v>
      </c>
      <c r="P8" s="96">
        <f>SUM(P6:P7)</f>
        <v>5069</v>
      </c>
      <c r="Q8" s="94">
        <f>SUM(N8+O8)</f>
        <v>195122</v>
      </c>
      <c r="R8" s="96">
        <f>SUM(R6:R7)</f>
        <v>123123.5</v>
      </c>
      <c r="S8" s="96">
        <f>SUM(S6:S7)</f>
        <v>52050.729999999996</v>
      </c>
      <c r="T8" s="96">
        <f>SUM(T6:T7)</f>
        <v>323</v>
      </c>
      <c r="U8" s="94">
        <f>SUM(R8+S8)</f>
        <v>175174.22999999998</v>
      </c>
    </row>
    <row r="9" spans="2:21" s="172" customFormat="1">
      <c r="B9" s="186"/>
      <c r="C9" s="174" t="s">
        <v>402</v>
      </c>
      <c r="D9" s="174" t="s">
        <v>308</v>
      </c>
      <c r="E9" s="265">
        <f>+Business!$D$29</f>
        <v>402992</v>
      </c>
      <c r="F9" s="265">
        <f>+Business!$E$29</f>
        <v>393940</v>
      </c>
      <c r="G9" s="265">
        <f>+Business!$G$29</f>
        <v>338252</v>
      </c>
      <c r="H9" s="265">
        <f>+Business!J29</f>
        <v>745618</v>
      </c>
      <c r="I9" s="360">
        <f>SUM(E9:H9)</f>
        <v>1880802</v>
      </c>
      <c r="J9" s="265">
        <f>+Business!$M$29</f>
        <v>353793</v>
      </c>
      <c r="K9" s="265">
        <f>+Business!$N$29</f>
        <v>427646</v>
      </c>
      <c r="L9" s="437" t="str">
        <f>+Business!P29</f>
        <v>N/A</v>
      </c>
      <c r="M9" s="185">
        <f>SUM(J9:L9)</f>
        <v>781439</v>
      </c>
      <c r="N9" s="266">
        <f>+Business!$U$29</f>
        <v>433409</v>
      </c>
      <c r="O9" s="266">
        <f>+Business!$V$29</f>
        <v>440973</v>
      </c>
      <c r="P9" s="265" t="s">
        <v>26</v>
      </c>
      <c r="Q9" s="185">
        <f>SUM(N9:P9)</f>
        <v>874382</v>
      </c>
      <c r="R9" s="270">
        <f>+Business!$AC$29</f>
        <v>412303</v>
      </c>
      <c r="S9" s="270">
        <f>+Business!$AD$29</f>
        <v>422239</v>
      </c>
      <c r="T9" s="270"/>
      <c r="U9" s="271">
        <f>R9+S9</f>
        <v>834542</v>
      </c>
    </row>
    <row r="10" spans="2:21">
      <c r="B10" s="9"/>
      <c r="C10" s="10" t="s">
        <v>403</v>
      </c>
      <c r="D10" s="10" t="s">
        <v>404</v>
      </c>
      <c r="E10" s="267">
        <f>+E8/E9</f>
        <v>0.30029871560725768</v>
      </c>
      <c r="F10" s="267">
        <f>+F8/F9</f>
        <v>0.25631245875006348</v>
      </c>
      <c r="G10" s="267">
        <f>+G8/G9</f>
        <v>0.29552286460981753</v>
      </c>
      <c r="H10" s="267">
        <f>+H8/H9</f>
        <v>0.46899618839673934</v>
      </c>
      <c r="I10" s="268">
        <f>+I8/I9</f>
        <v>0.35710452774933243</v>
      </c>
      <c r="J10" s="74">
        <f>J8/Business!M29</f>
        <v>0.29868312826992055</v>
      </c>
      <c r="K10" s="74">
        <f>K8/Business!N29</f>
        <v>0.22380125150241084</v>
      </c>
      <c r="L10" s="758" t="s">
        <v>26</v>
      </c>
      <c r="M10" s="116">
        <f>(M8-L8)/Business!T29</f>
        <v>0.23331278577086631</v>
      </c>
      <c r="N10" s="117">
        <f>N8/Business!U29</f>
        <v>0.31903121531855594</v>
      </c>
      <c r="O10" s="117">
        <f>O8/Business!V29</f>
        <v>0.12892172536640564</v>
      </c>
      <c r="P10" s="118" t="s">
        <v>93</v>
      </c>
      <c r="Q10" s="116">
        <f>(Q8-P8)/Business!AB29</f>
        <v>0.21735694467635427</v>
      </c>
      <c r="R10" s="117">
        <f>R8/Business!AC29</f>
        <v>0.29862382762191886</v>
      </c>
      <c r="S10" s="117">
        <f>S8/Business!AD29</f>
        <v>0.12327314625129369</v>
      </c>
      <c r="T10" s="118" t="s">
        <v>93</v>
      </c>
      <c r="U10" s="116">
        <f>(U8-T8)/Business!AJ29</f>
        <v>0.20951759168502002</v>
      </c>
    </row>
    <row r="11" spans="2:21">
      <c r="B11" s="9"/>
      <c r="C11" s="174" t="s">
        <v>405</v>
      </c>
      <c r="D11" s="10" t="s">
        <v>406</v>
      </c>
      <c r="E11" s="267">
        <f>E8/Business!D35</f>
        <v>2.4132039675952864E-2</v>
      </c>
      <c r="F11" s="267">
        <f>F8/Business!E35</f>
        <v>5.517710525438576E-2</v>
      </c>
      <c r="G11" s="267">
        <f>G8/Business!G35</f>
        <v>9.9580602935580215E-2</v>
      </c>
      <c r="H11" s="267">
        <f>H8/Business!J35</f>
        <v>7.0479513512946998E-2</v>
      </c>
      <c r="I11" s="268">
        <f>I8/Business!L35</f>
        <v>5.243025235247771E-2</v>
      </c>
      <c r="J11" s="74">
        <f>J8/Business!M35</f>
        <v>2.0620709263259245E-2</v>
      </c>
      <c r="K11" s="74">
        <f>K8/Business!N35</f>
        <v>3.8731956388983198E-2</v>
      </c>
      <c r="L11" s="757"/>
      <c r="M11" s="116">
        <f>(M8-L8)/Business!T35</f>
        <v>2.4003382755032398E-2</v>
      </c>
      <c r="N11" s="117">
        <f>N8/Business!U35</f>
        <v>2.1942076320803625E-2</v>
      </c>
      <c r="O11" s="117">
        <f>O8/Business!V35</f>
        <v>2.3690818791968684E-2</v>
      </c>
      <c r="P11" s="118" t="s">
        <v>93</v>
      </c>
      <c r="Q11" s="116">
        <f>(Q8-P8)/Business!AB35</f>
        <v>2.1841800742712934E-2</v>
      </c>
      <c r="R11" s="117">
        <f>R8/Business!AC35</f>
        <v>1.8656904699597066E-2</v>
      </c>
      <c r="S11" s="117">
        <f>S8/Business!AD35</f>
        <v>2.1981513827255172E-2</v>
      </c>
      <c r="T11" s="118" t="s">
        <v>93</v>
      </c>
      <c r="U11" s="116">
        <f>(U8-T8)/Business!AJ35</f>
        <v>1.9498792555383261E-2</v>
      </c>
    </row>
    <row r="12" spans="2:21">
      <c r="B12" s="9"/>
      <c r="C12" s="10" t="s">
        <v>407</v>
      </c>
      <c r="D12" s="10" t="s">
        <v>334</v>
      </c>
      <c r="E12" s="69">
        <v>0</v>
      </c>
      <c r="F12" s="69">
        <v>0</v>
      </c>
      <c r="G12" s="22">
        <v>0</v>
      </c>
      <c r="H12" s="69">
        <v>0</v>
      </c>
      <c r="I12" s="621">
        <v>0</v>
      </c>
      <c r="J12" s="622"/>
      <c r="K12" s="622"/>
      <c r="L12" s="622"/>
      <c r="M12" s="622">
        <v>0</v>
      </c>
      <c r="N12" s="69"/>
      <c r="O12" s="69">
        <v>0</v>
      </c>
      <c r="P12" s="69">
        <v>0</v>
      </c>
      <c r="Q12" s="68">
        <f>SUM(N12:P12)</f>
        <v>0</v>
      </c>
      <c r="R12" s="69">
        <v>0</v>
      </c>
      <c r="S12" s="69">
        <v>0</v>
      </c>
      <c r="T12" s="69">
        <v>0</v>
      </c>
      <c r="U12" s="68">
        <f>SUM(R12:T12)</f>
        <v>0</v>
      </c>
    </row>
    <row r="13" spans="2:21" ht="16" customHeight="1">
      <c r="B13" s="759" t="s">
        <v>408</v>
      </c>
      <c r="C13" s="759"/>
      <c r="D13" s="759"/>
      <c r="E13" s="759"/>
      <c r="F13" s="759"/>
      <c r="G13" s="759"/>
      <c r="H13" s="759"/>
      <c r="I13" s="759"/>
      <c r="J13" s="759"/>
      <c r="K13" s="759"/>
      <c r="L13" s="759"/>
      <c r="M13" s="759"/>
      <c r="N13" s="759"/>
      <c r="O13" s="759"/>
      <c r="P13" s="759"/>
      <c r="Q13" s="759"/>
      <c r="R13" s="759"/>
      <c r="S13" s="759"/>
      <c r="T13" s="759"/>
      <c r="U13" s="759"/>
    </row>
    <row r="14" spans="2:21" ht="14" customHeight="1" thickBot="1">
      <c r="B14" s="285"/>
      <c r="C14" s="614"/>
      <c r="D14" s="103"/>
      <c r="E14" s="286"/>
      <c r="F14" s="302"/>
      <c r="G14" s="294"/>
      <c r="H14" s="302"/>
      <c r="I14" s="288"/>
      <c r="J14" s="362"/>
      <c r="K14" s="362"/>
      <c r="L14" s="302"/>
      <c r="M14" s="288"/>
      <c r="N14" s="303"/>
      <c r="O14" s="304"/>
      <c r="P14" s="285"/>
      <c r="Q14" s="285"/>
      <c r="R14" s="285"/>
      <c r="S14" s="285"/>
      <c r="T14" s="285"/>
      <c r="U14" s="285"/>
    </row>
    <row r="15" spans="2:21">
      <c r="B15" s="7" t="s">
        <v>409</v>
      </c>
      <c r="C15" s="8"/>
      <c r="D15" s="10" t="s">
        <v>323</v>
      </c>
      <c r="E15" s="8"/>
      <c r="F15" s="8"/>
      <c r="G15" s="8"/>
      <c r="H15" s="8"/>
      <c r="I15" s="24"/>
      <c r="J15" s="8"/>
      <c r="K15" s="8"/>
      <c r="L15" s="8"/>
      <c r="M15" s="24"/>
      <c r="N15" s="24"/>
      <c r="O15" s="24"/>
      <c r="P15" s="24"/>
      <c r="Q15" s="24"/>
      <c r="R15" s="24"/>
      <c r="S15" s="24"/>
      <c r="T15" s="24"/>
      <c r="U15" s="4"/>
    </row>
    <row r="16" spans="2:21">
      <c r="B16" s="9"/>
      <c r="C16" s="10" t="s">
        <v>410</v>
      </c>
      <c r="D16" s="10" t="s">
        <v>349</v>
      </c>
      <c r="E16" s="55">
        <v>201718</v>
      </c>
      <c r="F16" s="55">
        <v>161590</v>
      </c>
      <c r="G16" s="411">
        <v>103743.8</v>
      </c>
      <c r="H16" s="55">
        <v>410607</v>
      </c>
      <c r="I16" s="76">
        <f t="shared" ref="I16:I22" si="0">SUM(E16:H16)</f>
        <v>877658.8</v>
      </c>
      <c r="J16" s="55">
        <v>272534</v>
      </c>
      <c r="K16" s="55">
        <v>150240</v>
      </c>
      <c r="L16" s="55">
        <v>16419.8</v>
      </c>
      <c r="M16" s="76">
        <f t="shared" ref="M16:M22" si="1">SUM(J16:L16)</f>
        <v>439193.8</v>
      </c>
      <c r="N16" s="55">
        <f>388353+201.9</f>
        <v>388554.9</v>
      </c>
      <c r="O16" s="55">
        <f>120820+5230+15560+170+1120+790</f>
        <v>143690</v>
      </c>
      <c r="P16" s="55">
        <v>4600</v>
      </c>
      <c r="Q16" s="76">
        <f t="shared" ref="Q16:Q22" si="2">SUM(N16:P16)</f>
        <v>536844.9</v>
      </c>
      <c r="R16" s="55">
        <v>282950</v>
      </c>
      <c r="S16" s="55">
        <v>155220</v>
      </c>
      <c r="T16" s="55">
        <v>0</v>
      </c>
      <c r="U16" s="76">
        <f t="shared" ref="U16:U22" si="3">SUM(R16:T16)</f>
        <v>438170</v>
      </c>
    </row>
    <row r="17" spans="2:21">
      <c r="B17" s="9"/>
      <c r="C17" s="10" t="s">
        <v>411</v>
      </c>
      <c r="D17" s="10" t="s">
        <v>349</v>
      </c>
      <c r="E17" s="412">
        <v>33360</v>
      </c>
      <c r="F17" s="55">
        <v>17742.664000000001</v>
      </c>
      <c r="G17" s="413">
        <v>28000</v>
      </c>
      <c r="H17" s="55">
        <v>539</v>
      </c>
      <c r="I17" s="76">
        <f t="shared" si="0"/>
        <v>79641.664000000004</v>
      </c>
      <c r="J17" s="55">
        <v>35710</v>
      </c>
      <c r="K17" s="55">
        <v>26135.31</v>
      </c>
      <c r="L17" s="55">
        <v>0</v>
      </c>
      <c r="M17" s="76">
        <f t="shared" si="1"/>
        <v>61845.31</v>
      </c>
      <c r="N17" s="55">
        <v>19650</v>
      </c>
      <c r="O17" s="55">
        <v>19271</v>
      </c>
      <c r="P17" s="77" t="s">
        <v>26</v>
      </c>
      <c r="Q17" s="76">
        <f t="shared" si="2"/>
        <v>38921</v>
      </c>
      <c r="R17" s="55">
        <v>12370</v>
      </c>
      <c r="S17" s="55">
        <v>0</v>
      </c>
      <c r="T17" s="55">
        <v>0</v>
      </c>
      <c r="U17" s="76">
        <f t="shared" si="3"/>
        <v>12370</v>
      </c>
    </row>
    <row r="18" spans="2:21">
      <c r="B18" s="9"/>
      <c r="C18" s="10" t="s">
        <v>412</v>
      </c>
      <c r="D18" s="10" t="s">
        <v>349</v>
      </c>
      <c r="E18" s="55">
        <v>94</v>
      </c>
      <c r="F18" s="55">
        <v>270</v>
      </c>
      <c r="G18" s="414">
        <v>2932</v>
      </c>
      <c r="H18" s="55">
        <v>30297</v>
      </c>
      <c r="I18" s="76">
        <f t="shared" si="0"/>
        <v>33593</v>
      </c>
      <c r="J18" s="55">
        <v>35</v>
      </c>
      <c r="K18" s="55">
        <v>140</v>
      </c>
      <c r="L18" s="55">
        <v>0</v>
      </c>
      <c r="M18" s="76">
        <f t="shared" si="1"/>
        <v>175</v>
      </c>
      <c r="N18" s="55">
        <v>114</v>
      </c>
      <c r="O18" s="55">
        <f>200+70</f>
        <v>270</v>
      </c>
      <c r="P18" s="77" t="s">
        <v>26</v>
      </c>
      <c r="Q18" s="76">
        <f t="shared" si="2"/>
        <v>384</v>
      </c>
      <c r="R18" s="55">
        <v>0</v>
      </c>
      <c r="S18" s="55">
        <v>637</v>
      </c>
      <c r="T18" s="55">
        <v>0</v>
      </c>
      <c r="U18" s="76">
        <f t="shared" si="3"/>
        <v>637</v>
      </c>
    </row>
    <row r="19" spans="2:21">
      <c r="B19" s="9"/>
      <c r="C19" s="10" t="s">
        <v>413</v>
      </c>
      <c r="D19" s="10" t="s">
        <v>349</v>
      </c>
      <c r="E19" s="55">
        <v>562</v>
      </c>
      <c r="F19" s="55">
        <v>4120</v>
      </c>
      <c r="G19" s="415">
        <v>0</v>
      </c>
      <c r="H19" s="55">
        <v>73598</v>
      </c>
      <c r="I19" s="76">
        <f t="shared" si="0"/>
        <v>78280</v>
      </c>
      <c r="J19" s="55">
        <v>2463</v>
      </c>
      <c r="K19" s="55">
        <v>4780</v>
      </c>
      <c r="L19" s="55">
        <v>1648</v>
      </c>
      <c r="M19" s="76">
        <f t="shared" si="1"/>
        <v>8891</v>
      </c>
      <c r="N19" s="55">
        <v>1317</v>
      </c>
      <c r="O19" s="55">
        <f>1390+3490</f>
        <v>4880</v>
      </c>
      <c r="P19" s="55">
        <v>3048</v>
      </c>
      <c r="Q19" s="76">
        <f t="shared" si="2"/>
        <v>9245</v>
      </c>
      <c r="R19" s="55">
        <v>1968</v>
      </c>
      <c r="S19" s="55">
        <v>4584</v>
      </c>
      <c r="T19" s="55">
        <v>436</v>
      </c>
      <c r="U19" s="76">
        <f t="shared" si="3"/>
        <v>6988</v>
      </c>
    </row>
    <row r="20" spans="2:21">
      <c r="B20" s="9"/>
      <c r="C20" s="10" t="s">
        <v>414</v>
      </c>
      <c r="D20" s="10" t="s">
        <v>349</v>
      </c>
      <c r="E20" s="55">
        <v>17224</v>
      </c>
      <c r="F20" s="55">
        <v>0</v>
      </c>
      <c r="G20" s="415">
        <v>4020</v>
      </c>
      <c r="H20" s="55">
        <v>141473</v>
      </c>
      <c r="I20" s="76">
        <f t="shared" si="0"/>
        <v>162717</v>
      </c>
      <c r="J20" s="55">
        <v>26045</v>
      </c>
      <c r="K20" s="55">
        <v>0</v>
      </c>
      <c r="L20" s="55">
        <v>34110</v>
      </c>
      <c r="M20" s="76">
        <f t="shared" si="1"/>
        <v>60155</v>
      </c>
      <c r="N20" s="55">
        <v>25480</v>
      </c>
      <c r="O20" s="55"/>
      <c r="P20" s="55">
        <v>2235</v>
      </c>
      <c r="Q20" s="76">
        <f t="shared" si="2"/>
        <v>27715</v>
      </c>
      <c r="R20" s="55">
        <v>7060</v>
      </c>
      <c r="S20" s="55">
        <v>0</v>
      </c>
      <c r="T20" s="55">
        <v>0</v>
      </c>
      <c r="U20" s="76">
        <f t="shared" si="3"/>
        <v>7060</v>
      </c>
    </row>
    <row r="21" spans="2:21">
      <c r="B21" s="9"/>
      <c r="C21" s="10" t="s">
        <v>415</v>
      </c>
      <c r="D21" s="10" t="s">
        <v>349</v>
      </c>
      <c r="E21" s="416">
        <v>113539</v>
      </c>
      <c r="F21" s="55">
        <v>0</v>
      </c>
      <c r="G21" s="415">
        <v>175811</v>
      </c>
      <c r="H21" s="55">
        <v>545609</v>
      </c>
      <c r="I21" s="76">
        <f t="shared" si="0"/>
        <v>834959</v>
      </c>
      <c r="J21" s="55">
        <v>132840</v>
      </c>
      <c r="K21" s="55">
        <v>0</v>
      </c>
      <c r="L21" s="55">
        <v>100324</v>
      </c>
      <c r="M21" s="76">
        <f t="shared" si="1"/>
        <v>233164</v>
      </c>
      <c r="N21" s="55">
        <v>91862.5</v>
      </c>
      <c r="O21" s="55">
        <v>0</v>
      </c>
      <c r="P21" s="55">
        <v>13188</v>
      </c>
      <c r="Q21" s="76">
        <f t="shared" si="2"/>
        <v>105050.5</v>
      </c>
      <c r="R21" s="55">
        <v>81482</v>
      </c>
      <c r="S21" s="55">
        <v>0</v>
      </c>
      <c r="T21" s="55">
        <v>5698</v>
      </c>
      <c r="U21" s="200">
        <f t="shared" si="3"/>
        <v>87180</v>
      </c>
    </row>
    <row r="22" spans="2:21">
      <c r="B22" s="9"/>
      <c r="C22" s="10" t="s">
        <v>416</v>
      </c>
      <c r="D22" s="10" t="s">
        <v>349</v>
      </c>
      <c r="E22" s="416">
        <v>143577</v>
      </c>
      <c r="F22" s="55">
        <v>54060</v>
      </c>
      <c r="G22" s="415">
        <v>199899</v>
      </c>
      <c r="H22" s="55">
        <v>279377</v>
      </c>
      <c r="I22" s="76">
        <f t="shared" si="0"/>
        <v>676913</v>
      </c>
      <c r="J22" s="55">
        <f>162834+56882</f>
        <v>219716</v>
      </c>
      <c r="K22" s="55">
        <v>50896</v>
      </c>
      <c r="L22" s="55">
        <v>80145</v>
      </c>
      <c r="M22" s="76">
        <f t="shared" si="1"/>
        <v>350757</v>
      </c>
      <c r="N22" s="55">
        <v>247705</v>
      </c>
      <c r="O22" s="55">
        <v>58940</v>
      </c>
      <c r="P22" s="55">
        <v>5130</v>
      </c>
      <c r="Q22" s="76">
        <f t="shared" si="2"/>
        <v>311775</v>
      </c>
      <c r="R22" s="55">
        <v>252950</v>
      </c>
      <c r="S22" s="55">
        <v>68060</v>
      </c>
      <c r="T22" s="55">
        <v>1626</v>
      </c>
      <c r="U22" s="200">
        <f t="shared" si="3"/>
        <v>322636</v>
      </c>
    </row>
    <row r="23" spans="2:21">
      <c r="B23" s="13"/>
      <c r="C23" s="183" t="s">
        <v>417</v>
      </c>
      <c r="D23" s="183" t="s">
        <v>349</v>
      </c>
      <c r="E23" s="96">
        <f>SUM(E16:E22)</f>
        <v>510074</v>
      </c>
      <c r="F23" s="96">
        <f t="shared" ref="F23:U23" si="4">SUM(F16:F22)</f>
        <v>237782.66399999999</v>
      </c>
      <c r="G23" s="96">
        <f>SUM(G16:G22)</f>
        <v>514405.8</v>
      </c>
      <c r="H23" s="96">
        <f t="shared" si="4"/>
        <v>1481500</v>
      </c>
      <c r="I23" s="94">
        <f t="shared" si="4"/>
        <v>2743762.4640000002</v>
      </c>
      <c r="J23" s="96">
        <f t="shared" si="4"/>
        <v>689343</v>
      </c>
      <c r="K23" s="96">
        <f t="shared" si="4"/>
        <v>232191.31</v>
      </c>
      <c r="L23" s="96">
        <f t="shared" si="4"/>
        <v>232646.8</v>
      </c>
      <c r="M23" s="94">
        <f t="shared" si="4"/>
        <v>1154181.1099999999</v>
      </c>
      <c r="N23" s="96">
        <f t="shared" si="4"/>
        <v>774683.4</v>
      </c>
      <c r="O23" s="96">
        <f t="shared" si="4"/>
        <v>227051</v>
      </c>
      <c r="P23" s="96">
        <f t="shared" si="4"/>
        <v>28201</v>
      </c>
      <c r="Q23" s="94">
        <f t="shared" si="4"/>
        <v>1029935.4</v>
      </c>
      <c r="R23" s="96">
        <f t="shared" si="4"/>
        <v>638780</v>
      </c>
      <c r="S23" s="96">
        <f t="shared" si="4"/>
        <v>228501</v>
      </c>
      <c r="T23" s="96">
        <f t="shared" si="4"/>
        <v>7760</v>
      </c>
      <c r="U23" s="188">
        <f t="shared" si="4"/>
        <v>875041</v>
      </c>
    </row>
    <row r="24" spans="2:21" s="172" customFormat="1">
      <c r="B24" s="186"/>
      <c r="C24" s="174" t="s">
        <v>281</v>
      </c>
      <c r="D24" s="174" t="s">
        <v>308</v>
      </c>
      <c r="E24" s="265">
        <f>+Business!$D$29</f>
        <v>402992</v>
      </c>
      <c r="F24" s="265">
        <f>+Business!$E$29</f>
        <v>393940</v>
      </c>
      <c r="G24" s="265">
        <f>+Business!$G$29</f>
        <v>338252</v>
      </c>
      <c r="H24" s="269">
        <f>+H9</f>
        <v>745618</v>
      </c>
      <c r="I24" s="185">
        <f>SUM(E24:H24)</f>
        <v>1880802</v>
      </c>
      <c r="J24" s="265">
        <f>+Business!$M$29</f>
        <v>353793</v>
      </c>
      <c r="K24" s="265">
        <f>+Business!$N$29</f>
        <v>427646</v>
      </c>
      <c r="L24" s="716" t="s">
        <v>26</v>
      </c>
      <c r="M24" s="185">
        <f>SUM(J24:L24)</f>
        <v>781439</v>
      </c>
      <c r="N24" s="266">
        <f>+Business!$U$29</f>
        <v>433409</v>
      </c>
      <c r="O24" s="266">
        <f>+Business!$V$29</f>
        <v>440973</v>
      </c>
      <c r="P24" s="265" t="s">
        <v>93</v>
      </c>
      <c r="Q24" s="185">
        <f>SUM(N24:P24)</f>
        <v>874382</v>
      </c>
      <c r="R24" s="270">
        <f>+Business!$AC$29</f>
        <v>412303</v>
      </c>
      <c r="S24" s="270">
        <f>+Business!$AD$29</f>
        <v>422239</v>
      </c>
      <c r="T24" s="270"/>
      <c r="U24" s="271">
        <f>R24+S24</f>
        <v>834542</v>
      </c>
    </row>
    <row r="25" spans="2:21" ht="16" customHeight="1">
      <c r="B25" s="9"/>
      <c r="C25" s="10" t="s">
        <v>418</v>
      </c>
      <c r="D25" s="10" t="s">
        <v>404</v>
      </c>
      <c r="E25" s="119">
        <f>+E23/E24</f>
        <v>1.2657174335966968</v>
      </c>
      <c r="F25" s="119">
        <f>+F23/F24</f>
        <v>0.60360121845966386</v>
      </c>
      <c r="G25" s="119">
        <f>+G23/G24</f>
        <v>1.5207768172841549</v>
      </c>
      <c r="H25" s="119">
        <f>+H23/H24</f>
        <v>1.9869423753181925</v>
      </c>
      <c r="I25" s="355">
        <f>+I23/I24</f>
        <v>1.4588257902745745</v>
      </c>
      <c r="J25" s="119">
        <f>J23/Business!M29</f>
        <v>1.948435949835073</v>
      </c>
      <c r="K25" s="119">
        <f>K23/Business!N29</f>
        <v>0.54295213798328523</v>
      </c>
      <c r="L25" s="717"/>
      <c r="M25" s="120">
        <f>(M23-L23)/Business!T29</f>
        <v>1.1792786257148669</v>
      </c>
      <c r="N25" s="119">
        <f>N23/Business!U29</f>
        <v>1.7874188122535528</v>
      </c>
      <c r="O25" s="119">
        <f>O23/Business!V29</f>
        <v>0.51488639894052468</v>
      </c>
      <c r="P25" s="121" t="s">
        <v>93</v>
      </c>
      <c r="Q25" s="120">
        <f>(Q23-P23)/Business!AB29</f>
        <v>1.1456484694332683</v>
      </c>
      <c r="R25" s="119">
        <f>R23/Business!AC29</f>
        <v>1.5492974826765753</v>
      </c>
      <c r="S25" s="119">
        <f>S23/Business!AD29</f>
        <v>0.54116507475623998</v>
      </c>
      <c r="T25" s="121" t="s">
        <v>93</v>
      </c>
      <c r="U25" s="201">
        <f>(U23-T23)/Business!AJ29</f>
        <v>1.0392299009516597</v>
      </c>
    </row>
    <row r="26" spans="2:21" ht="16" customHeight="1">
      <c r="B26" s="9"/>
      <c r="C26" s="10" t="s">
        <v>419</v>
      </c>
      <c r="D26" s="10" t="s">
        <v>406</v>
      </c>
      <c r="E26" s="119">
        <f>+E23/Business!D35</f>
        <v>0.10171320001930276</v>
      </c>
      <c r="F26" s="119">
        <f>+F23/Business!E35</f>
        <v>0.12993893517716537</v>
      </c>
      <c r="G26" s="119">
        <f>+G23/Business!G35</f>
        <v>0.51244722669955434</v>
      </c>
      <c r="H26" s="119">
        <f>+H23/Business!J35</f>
        <v>0.29859247357512037</v>
      </c>
      <c r="I26" s="641">
        <f>+I23/Business!L35</f>
        <v>0.21418547898134749</v>
      </c>
      <c r="J26" s="119">
        <f>J23/Business!M35</f>
        <v>0.13451757878778595</v>
      </c>
      <c r="K26" s="119">
        <f>K23/Business!N35</f>
        <v>9.3965509077804488E-2</v>
      </c>
      <c r="L26" s="718"/>
      <c r="M26" s="120">
        <f>(M23-L23)/Business!T35</f>
        <v>0.1213250106904222</v>
      </c>
      <c r="N26" s="119">
        <f>N23/Business!U35</f>
        <v>0.12293367580519157</v>
      </c>
      <c r="O26" s="119">
        <f>O23/Business!V35</f>
        <v>9.4616173814625629E-2</v>
      </c>
      <c r="P26" s="121" t="s">
        <v>93</v>
      </c>
      <c r="Q26" s="120">
        <f>(Q23-P23)/Business!AB35</f>
        <v>0.1151241135994754</v>
      </c>
      <c r="R26" s="119">
        <f>R23/Business!AC35</f>
        <v>9.6794337263061997E-2</v>
      </c>
      <c r="S26" s="119">
        <f>S23/Business!AD35</f>
        <v>9.6498125790774394E-2</v>
      </c>
      <c r="T26" s="121" t="s">
        <v>93</v>
      </c>
      <c r="U26" s="201">
        <f>(U23-T23)/Business!AJ35</f>
        <v>9.671611864683681E-2</v>
      </c>
    </row>
    <row r="27" spans="2:21">
      <c r="B27" s="13"/>
      <c r="C27" s="14" t="s">
        <v>420</v>
      </c>
      <c r="D27" s="10" t="s">
        <v>349</v>
      </c>
      <c r="E27" s="96">
        <f>E8+E23</f>
        <v>631091.98</v>
      </c>
      <c r="F27" s="96">
        <f>F8+F23</f>
        <v>338754.39399999997</v>
      </c>
      <c r="G27" s="96">
        <f>G8+G23</f>
        <v>614367</v>
      </c>
      <c r="H27" s="96">
        <f>H8+H23</f>
        <v>1831192</v>
      </c>
      <c r="I27" s="368">
        <f>I23+I8</f>
        <v>3415405.3739999998</v>
      </c>
      <c r="J27" s="96">
        <f>J8+J23</f>
        <v>795015</v>
      </c>
      <c r="K27" s="96">
        <f>K8+K23</f>
        <v>327899.02</v>
      </c>
      <c r="L27" s="96">
        <f>L8+L23</f>
        <v>251706.8</v>
      </c>
      <c r="M27" s="368">
        <f t="shared" ref="M27:U27" si="5">M23+M8</f>
        <v>1355560.8199999998</v>
      </c>
      <c r="N27" s="368">
        <f t="shared" si="5"/>
        <v>912954.4</v>
      </c>
      <c r="O27" s="368">
        <f t="shared" si="5"/>
        <v>283902</v>
      </c>
      <c r="P27" s="368">
        <f t="shared" si="5"/>
        <v>33270</v>
      </c>
      <c r="Q27" s="368">
        <f t="shared" si="5"/>
        <v>1225057.3999999999</v>
      </c>
      <c r="R27" s="368">
        <f t="shared" si="5"/>
        <v>761903.5</v>
      </c>
      <c r="S27" s="368">
        <f t="shared" si="5"/>
        <v>280551.73</v>
      </c>
      <c r="T27" s="368">
        <f t="shared" si="5"/>
        <v>8083</v>
      </c>
      <c r="U27" s="620">
        <f t="shared" si="5"/>
        <v>1050215.23</v>
      </c>
    </row>
    <row r="28" spans="2:21" ht="17" thickBot="1">
      <c r="B28" s="285"/>
      <c r="C28" s="614"/>
      <c r="D28" s="103"/>
      <c r="E28" s="286"/>
      <c r="F28" s="302"/>
      <c r="G28" s="294"/>
      <c r="H28" s="302"/>
      <c r="I28" s="288"/>
      <c r="J28" s="362"/>
      <c r="K28" s="362"/>
      <c r="L28" s="302"/>
      <c r="M28" s="288"/>
      <c r="N28" s="303"/>
      <c r="O28" s="304"/>
      <c r="P28" s="285"/>
      <c r="Q28" s="285"/>
      <c r="R28" s="285"/>
      <c r="S28" s="285"/>
      <c r="T28" s="285"/>
      <c r="U28" s="285"/>
    </row>
    <row r="29" spans="2:21">
      <c r="B29" s="7" t="s">
        <v>613</v>
      </c>
      <c r="C29" s="8"/>
      <c r="D29" s="10"/>
      <c r="E29" s="8"/>
      <c r="F29" s="8"/>
      <c r="G29" s="8"/>
      <c r="H29" s="8"/>
      <c r="I29" s="4"/>
      <c r="J29" s="98"/>
      <c r="K29" s="8"/>
      <c r="L29" s="98"/>
      <c r="M29" s="4"/>
      <c r="N29" s="4"/>
      <c r="O29" s="4"/>
      <c r="P29" s="4"/>
      <c r="Q29" s="122"/>
      <c r="R29" s="4"/>
      <c r="S29" s="4"/>
      <c r="T29" s="4"/>
      <c r="U29" s="4"/>
    </row>
    <row r="30" spans="2:21">
      <c r="B30" s="9"/>
      <c r="C30" s="174" t="s">
        <v>421</v>
      </c>
      <c r="D30" s="10" t="s">
        <v>349</v>
      </c>
      <c r="E30" s="82">
        <v>0</v>
      </c>
      <c r="F30" s="82">
        <f>+F5</f>
        <v>0</v>
      </c>
      <c r="G30" s="417">
        <v>0</v>
      </c>
      <c r="H30" s="82">
        <v>0</v>
      </c>
      <c r="I30" s="76">
        <f t="shared" ref="I30:I37" si="6">SUM(E30:H30)</f>
        <v>0</v>
      </c>
      <c r="J30" s="82">
        <v>0</v>
      </c>
      <c r="K30" s="82">
        <f>+K5</f>
        <v>0</v>
      </c>
      <c r="L30" s="82">
        <v>0</v>
      </c>
      <c r="M30" s="76">
        <f t="shared" ref="M30:M37" si="7">SUM(J30:L30)</f>
        <v>0</v>
      </c>
      <c r="N30" s="4"/>
      <c r="O30" s="23"/>
      <c r="P30" s="23"/>
      <c r="Q30" s="4"/>
      <c r="R30" s="4"/>
      <c r="S30" s="4"/>
      <c r="T30" s="4"/>
      <c r="U30" s="4"/>
    </row>
    <row r="31" spans="2:21">
      <c r="B31" s="9"/>
      <c r="C31" s="174" t="s">
        <v>422</v>
      </c>
      <c r="D31" s="10" t="s">
        <v>349</v>
      </c>
      <c r="E31" s="82">
        <v>0</v>
      </c>
      <c r="F31" s="82">
        <v>3960.95</v>
      </c>
      <c r="G31" s="418">
        <v>0</v>
      </c>
      <c r="H31" s="82">
        <v>0</v>
      </c>
      <c r="I31" s="76">
        <f t="shared" si="6"/>
        <v>3960.95</v>
      </c>
      <c r="J31" s="82">
        <v>0</v>
      </c>
      <c r="K31" s="82">
        <v>2773</v>
      </c>
      <c r="L31" s="82">
        <v>0</v>
      </c>
      <c r="M31" s="76">
        <f t="shared" si="7"/>
        <v>2773</v>
      </c>
      <c r="N31" s="4"/>
      <c r="O31" s="4"/>
      <c r="P31" s="4"/>
      <c r="Q31" s="4"/>
      <c r="R31" s="4"/>
      <c r="S31" s="4"/>
      <c r="T31" s="4"/>
      <c r="U31" s="4"/>
    </row>
    <row r="32" spans="2:21">
      <c r="B32" s="9"/>
      <c r="C32" s="10" t="s">
        <v>423</v>
      </c>
      <c r="D32" s="10" t="s">
        <v>349</v>
      </c>
      <c r="E32" s="82">
        <v>0</v>
      </c>
      <c r="F32" s="82">
        <v>0</v>
      </c>
      <c r="G32" s="418">
        <v>0</v>
      </c>
      <c r="H32" s="82">
        <v>0</v>
      </c>
      <c r="I32" s="76">
        <f t="shared" si="6"/>
        <v>0</v>
      </c>
      <c r="J32" s="82">
        <v>0</v>
      </c>
      <c r="K32" s="82">
        <v>0</v>
      </c>
      <c r="L32" s="82">
        <v>0</v>
      </c>
      <c r="M32" s="76">
        <f t="shared" si="7"/>
        <v>0</v>
      </c>
      <c r="N32" s="4"/>
      <c r="O32" s="23"/>
      <c r="P32" s="23"/>
      <c r="Q32" s="4"/>
      <c r="R32" s="4"/>
      <c r="S32" s="4"/>
      <c r="T32" s="4"/>
      <c r="U32" s="4"/>
    </row>
    <row r="33" spans="2:21">
      <c r="B33" s="9"/>
      <c r="C33" s="10" t="s">
        <v>424</v>
      </c>
      <c r="D33" s="10" t="s">
        <v>349</v>
      </c>
      <c r="E33" s="82">
        <v>106577</v>
      </c>
      <c r="F33" s="82">
        <v>28520.97</v>
      </c>
      <c r="G33" s="419">
        <v>50640.2</v>
      </c>
      <c r="H33" s="82">
        <v>0</v>
      </c>
      <c r="I33" s="76">
        <f t="shared" si="6"/>
        <v>185738.16999999998</v>
      </c>
      <c r="J33" s="82">
        <f>85201</f>
        <v>85201</v>
      </c>
      <c r="K33" s="406">
        <v>26782.07</v>
      </c>
      <c r="L33" s="82">
        <v>10120</v>
      </c>
      <c r="M33" s="76">
        <f t="shared" si="7"/>
        <v>122103.07</v>
      </c>
    </row>
    <row r="34" spans="2:21">
      <c r="B34" s="9"/>
      <c r="C34" s="10" t="s">
        <v>425</v>
      </c>
      <c r="D34" s="10" t="s">
        <v>349</v>
      </c>
      <c r="E34" s="82">
        <v>0</v>
      </c>
      <c r="F34" s="82">
        <v>0</v>
      </c>
      <c r="G34" s="418">
        <v>0</v>
      </c>
      <c r="H34" s="82">
        <v>0</v>
      </c>
      <c r="I34" s="76">
        <f t="shared" si="6"/>
        <v>0</v>
      </c>
      <c r="J34" s="82">
        <v>0</v>
      </c>
      <c r="K34" s="82">
        <v>0</v>
      </c>
      <c r="L34" s="82">
        <v>0</v>
      </c>
      <c r="M34" s="76">
        <f t="shared" si="7"/>
        <v>0</v>
      </c>
    </row>
    <row r="35" spans="2:21">
      <c r="B35" s="9"/>
      <c r="C35" s="10" t="s">
        <v>426</v>
      </c>
      <c r="D35" s="10" t="s">
        <v>349</v>
      </c>
      <c r="E35" s="82">
        <v>0</v>
      </c>
      <c r="F35" s="82">
        <f>F6+F7-F31-F33-F37</f>
        <v>68479.69</v>
      </c>
      <c r="G35" s="82">
        <v>31711</v>
      </c>
      <c r="H35" s="82">
        <v>16433</v>
      </c>
      <c r="I35" s="76">
        <f t="shared" si="6"/>
        <v>116623.69</v>
      </c>
      <c r="J35" s="82">
        <v>0</v>
      </c>
      <c r="K35" s="406">
        <v>66126.935000000012</v>
      </c>
      <c r="L35" s="82">
        <v>0</v>
      </c>
      <c r="M35" s="76">
        <f t="shared" si="7"/>
        <v>66126.935000000012</v>
      </c>
    </row>
    <row r="36" spans="2:21">
      <c r="B36" s="9"/>
      <c r="C36" s="10" t="s">
        <v>427</v>
      </c>
      <c r="D36" s="10" t="s">
        <v>349</v>
      </c>
      <c r="E36" s="82">
        <v>0</v>
      </c>
      <c r="F36" s="82">
        <v>0</v>
      </c>
      <c r="G36" s="418">
        <v>0</v>
      </c>
      <c r="H36" s="82">
        <v>0</v>
      </c>
      <c r="I36" s="76">
        <f t="shared" si="6"/>
        <v>0</v>
      </c>
      <c r="J36" s="82">
        <f>+J10</f>
        <v>0.29868312826992055</v>
      </c>
      <c r="K36" s="82">
        <f>+K10</f>
        <v>0.22380125150241084</v>
      </c>
      <c r="L36" s="82">
        <v>0</v>
      </c>
      <c r="M36" s="76">
        <f t="shared" si="7"/>
        <v>0.52248437977233142</v>
      </c>
    </row>
    <row r="37" spans="2:21">
      <c r="B37" s="9"/>
      <c r="C37" s="10" t="s">
        <v>428</v>
      </c>
      <c r="D37" s="10" t="s">
        <v>349</v>
      </c>
      <c r="E37" s="82">
        <v>14440.98</v>
      </c>
      <c r="F37" s="82">
        <v>10.119999999999999</v>
      </c>
      <c r="G37" s="419">
        <f>17610</f>
        <v>17610</v>
      </c>
      <c r="H37" s="82">
        <v>491370</v>
      </c>
      <c r="I37" s="76">
        <f t="shared" si="6"/>
        <v>523431.1</v>
      </c>
      <c r="J37" s="82">
        <f>20471</f>
        <v>20471</v>
      </c>
      <c r="K37" s="406">
        <v>25.72</v>
      </c>
      <c r="L37" s="82">
        <v>8940</v>
      </c>
      <c r="M37" s="76">
        <f t="shared" si="7"/>
        <v>29436.720000000001</v>
      </c>
    </row>
    <row r="38" spans="2:21">
      <c r="B38" s="9"/>
      <c r="C38" s="10" t="s">
        <v>637</v>
      </c>
      <c r="D38" s="10" t="s">
        <v>349</v>
      </c>
      <c r="E38" s="623" t="s">
        <v>26</v>
      </c>
      <c r="F38" s="623" t="s">
        <v>26</v>
      </c>
      <c r="G38" s="623" t="s">
        <v>26</v>
      </c>
      <c r="H38" s="623" t="s">
        <v>263</v>
      </c>
      <c r="I38" s="624" t="s">
        <v>26</v>
      </c>
      <c r="J38" s="82"/>
      <c r="K38" s="406"/>
      <c r="L38" s="82"/>
      <c r="M38" s="624" t="s">
        <v>26</v>
      </c>
    </row>
    <row r="39" spans="2:21" s="172" customFormat="1">
      <c r="B39" s="186"/>
      <c r="C39" s="183" t="s">
        <v>614</v>
      </c>
      <c r="D39" s="10" t="s">
        <v>349</v>
      </c>
      <c r="E39" s="187">
        <f>SUM(E30:E38)</f>
        <v>121017.98</v>
      </c>
      <c r="F39" s="187">
        <f>SUM(F30:F38)</f>
        <v>100971.73</v>
      </c>
      <c r="G39" s="187">
        <f>SUM(G30:G38)</f>
        <v>99961.2</v>
      </c>
      <c r="H39" s="187">
        <f>SUM(H30:H38)</f>
        <v>507803</v>
      </c>
      <c r="I39" s="188">
        <f>SUM(I30:I37)</f>
        <v>829753.90999999992</v>
      </c>
      <c r="J39" s="187">
        <f>SUM(J30:J37)</f>
        <v>105672.29868312828</v>
      </c>
      <c r="K39" s="187">
        <f>SUM(K30:K37)</f>
        <v>95707.948801251507</v>
      </c>
      <c r="L39" s="187">
        <f>SUM(L30:L37)</f>
        <v>19060</v>
      </c>
      <c r="M39" s="188">
        <f>SUM(M30:M36)</f>
        <v>191003.52748437977</v>
      </c>
    </row>
    <row r="40" spans="2:21" s="172" customFormat="1" ht="14" customHeight="1">
      <c r="B40" s="642" t="s">
        <v>430</v>
      </c>
      <c r="C40" s="642"/>
      <c r="D40" s="642"/>
      <c r="E40" s="642"/>
      <c r="F40" s="642"/>
      <c r="G40" s="642"/>
      <c r="H40" s="642"/>
      <c r="I40" s="642"/>
      <c r="J40" s="642"/>
      <c r="K40" s="642"/>
      <c r="L40" s="642"/>
      <c r="M40" s="642"/>
    </row>
    <row r="41" spans="2:21" s="172" customFormat="1">
      <c r="B41" s="760" t="s">
        <v>615</v>
      </c>
      <c r="C41" s="760"/>
      <c r="D41" s="760"/>
      <c r="E41" s="760"/>
      <c r="F41" s="760"/>
      <c r="G41" s="760"/>
      <c r="H41" s="760"/>
      <c r="I41" s="760"/>
      <c r="J41" s="760"/>
      <c r="K41" s="760"/>
      <c r="L41" s="760"/>
      <c r="M41" s="760"/>
    </row>
    <row r="42" spans="2:21" ht="17" thickBot="1">
      <c r="B42" s="285"/>
      <c r="C42" s="614"/>
      <c r="D42" s="103"/>
      <c r="E42" s="286"/>
      <c r="F42" s="302"/>
      <c r="G42" s="294"/>
      <c r="H42" s="302"/>
      <c r="I42" s="288"/>
      <c r="J42" s="362"/>
      <c r="K42" s="362"/>
      <c r="L42" s="302"/>
      <c r="M42" s="288"/>
      <c r="N42" s="303"/>
      <c r="O42" s="304"/>
      <c r="P42" s="285"/>
      <c r="Q42" s="172"/>
      <c r="R42" s="172"/>
      <c r="S42" s="172"/>
      <c r="T42" s="172"/>
      <c r="U42" s="172"/>
    </row>
    <row r="43" spans="2:21">
      <c r="B43" s="7" t="s">
        <v>431</v>
      </c>
      <c r="C43" s="8"/>
      <c r="D43" s="10"/>
      <c r="E43" s="8"/>
      <c r="F43" s="8"/>
      <c r="G43" s="8"/>
      <c r="H43" s="8"/>
      <c r="I43" s="4"/>
      <c r="J43" s="8"/>
      <c r="K43" s="8"/>
      <c r="L43" s="8"/>
      <c r="M43" s="4"/>
      <c r="Q43" s="172"/>
      <c r="R43" s="172"/>
      <c r="S43" s="172"/>
      <c r="T43" s="172"/>
      <c r="U43" s="172"/>
    </row>
    <row r="44" spans="2:21">
      <c r="B44" s="9"/>
      <c r="C44" s="174" t="s">
        <v>421</v>
      </c>
      <c r="D44" s="10" t="s">
        <v>349</v>
      </c>
      <c r="E44" s="82">
        <v>0</v>
      </c>
      <c r="F44" s="82">
        <f>+F17</f>
        <v>17742.664000000001</v>
      </c>
      <c r="G44" s="82">
        <v>0</v>
      </c>
      <c r="H44" s="82">
        <v>0</v>
      </c>
      <c r="I44" s="76">
        <f t="shared" ref="I44:I51" si="8">SUM(E44:H44)</f>
        <v>17742.664000000001</v>
      </c>
      <c r="J44" s="82">
        <f>+J17</f>
        <v>35710</v>
      </c>
      <c r="K44" s="82">
        <f>+K17</f>
        <v>26135.31</v>
      </c>
      <c r="L44" s="82">
        <v>0</v>
      </c>
      <c r="M44" s="76">
        <f t="shared" ref="M44:M51" si="9">SUM(J44:L44)</f>
        <v>61845.31</v>
      </c>
      <c r="Q44" s="172"/>
      <c r="R44" s="172"/>
      <c r="S44" s="172"/>
      <c r="T44" s="172"/>
      <c r="U44" s="172"/>
    </row>
    <row r="45" spans="2:21">
      <c r="B45" s="9"/>
      <c r="C45" s="174" t="s">
        <v>422</v>
      </c>
      <c r="D45" s="10" t="s">
        <v>349</v>
      </c>
      <c r="E45" s="82">
        <v>0</v>
      </c>
      <c r="F45" s="82">
        <v>0</v>
      </c>
      <c r="G45" s="82">
        <v>0</v>
      </c>
      <c r="H45" s="82">
        <v>104310</v>
      </c>
      <c r="I45" s="76">
        <f t="shared" si="8"/>
        <v>104310</v>
      </c>
      <c r="J45" s="82">
        <v>0</v>
      </c>
      <c r="K45" s="82">
        <v>0</v>
      </c>
      <c r="L45" s="82">
        <v>0</v>
      </c>
      <c r="M45" s="76">
        <f t="shared" si="9"/>
        <v>0</v>
      </c>
      <c r="Q45" s="172"/>
      <c r="R45" s="172"/>
      <c r="S45" s="172"/>
      <c r="T45" s="172"/>
      <c r="U45" s="172"/>
    </row>
    <row r="46" spans="2:21">
      <c r="B46" s="9"/>
      <c r="C46" s="10" t="s">
        <v>423</v>
      </c>
      <c r="D46" s="10" t="s">
        <v>349</v>
      </c>
      <c r="E46" s="82">
        <v>0</v>
      </c>
      <c r="F46" s="82">
        <v>0</v>
      </c>
      <c r="G46" s="82">
        <v>0</v>
      </c>
      <c r="H46" s="82">
        <v>0</v>
      </c>
      <c r="I46" s="76">
        <f t="shared" si="8"/>
        <v>0</v>
      </c>
      <c r="J46" s="82">
        <v>0</v>
      </c>
      <c r="K46" s="82">
        <v>0</v>
      </c>
      <c r="L46" s="82">
        <v>0</v>
      </c>
      <c r="M46" s="76">
        <f t="shared" si="9"/>
        <v>0</v>
      </c>
      <c r="Q46" s="172"/>
      <c r="R46" s="172"/>
      <c r="S46" s="172"/>
      <c r="T46" s="172"/>
      <c r="U46" s="172"/>
    </row>
    <row r="47" spans="2:21">
      <c r="B47" s="9"/>
      <c r="C47" s="10" t="s">
        <v>424</v>
      </c>
      <c r="D47" s="10" t="s">
        <v>349</v>
      </c>
      <c r="E47" s="398">
        <f>+E16+E17+E18+E19+E20+E21</f>
        <v>366497</v>
      </c>
      <c r="F47" s="82">
        <f>+F16+F18+F19</f>
        <v>165980</v>
      </c>
      <c r="G47" s="397">
        <f>G16+G18+G20+G21+G19+G17</f>
        <v>314506.8</v>
      </c>
      <c r="H47" s="82">
        <v>454880</v>
      </c>
      <c r="I47" s="76">
        <f t="shared" si="8"/>
        <v>1301863.8</v>
      </c>
      <c r="J47" s="82">
        <f>+J16+J18+J19+J20+J21</f>
        <v>433917</v>
      </c>
      <c r="K47" s="82">
        <f>+K16+K18+K19</f>
        <v>155160</v>
      </c>
      <c r="L47" s="82">
        <f>+L16+L19+L20+L21</f>
        <v>152501.79999999999</v>
      </c>
      <c r="M47" s="76">
        <f t="shared" si="9"/>
        <v>741578.8</v>
      </c>
    </row>
    <row r="48" spans="2:21">
      <c r="B48" s="9"/>
      <c r="C48" s="10" t="s">
        <v>425</v>
      </c>
      <c r="D48" s="10" t="s">
        <v>349</v>
      </c>
      <c r="E48" s="82">
        <v>0</v>
      </c>
      <c r="F48" s="82">
        <v>0</v>
      </c>
      <c r="G48" s="82">
        <v>0</v>
      </c>
      <c r="H48" s="82">
        <v>0</v>
      </c>
      <c r="I48" s="76">
        <f t="shared" si="8"/>
        <v>0</v>
      </c>
      <c r="J48" s="82">
        <v>0</v>
      </c>
      <c r="K48" s="82">
        <v>0</v>
      </c>
      <c r="L48" s="82">
        <v>0</v>
      </c>
      <c r="M48" s="76">
        <f t="shared" si="9"/>
        <v>0</v>
      </c>
    </row>
    <row r="49" spans="2:21">
      <c r="B49" s="9"/>
      <c r="C49" s="10" t="s">
        <v>426</v>
      </c>
      <c r="D49" s="10" t="s">
        <v>349</v>
      </c>
      <c r="E49" s="82">
        <v>0</v>
      </c>
      <c r="F49" s="82">
        <v>0</v>
      </c>
      <c r="G49" s="82">
        <v>0</v>
      </c>
      <c r="H49" s="82">
        <v>0</v>
      </c>
      <c r="I49" s="76">
        <f t="shared" si="8"/>
        <v>0</v>
      </c>
      <c r="J49" s="82">
        <v>0</v>
      </c>
      <c r="K49" s="82">
        <v>0</v>
      </c>
      <c r="L49" s="82">
        <v>0</v>
      </c>
      <c r="M49" s="76">
        <f t="shared" si="9"/>
        <v>0</v>
      </c>
    </row>
    <row r="50" spans="2:21">
      <c r="B50" s="9"/>
      <c r="C50" s="10" t="s">
        <v>427</v>
      </c>
      <c r="D50" s="10" t="s">
        <v>349</v>
      </c>
      <c r="E50" s="82">
        <v>0</v>
      </c>
      <c r="F50" s="82">
        <f>+F22</f>
        <v>54060</v>
      </c>
      <c r="G50" s="82">
        <f>+G22</f>
        <v>199899</v>
      </c>
      <c r="H50" s="82">
        <v>545609</v>
      </c>
      <c r="I50" s="76">
        <f t="shared" si="8"/>
        <v>799568</v>
      </c>
      <c r="J50" s="82">
        <f>+J22</f>
        <v>219716</v>
      </c>
      <c r="K50" s="82">
        <f>+K22</f>
        <v>50896</v>
      </c>
      <c r="L50" s="82">
        <f>+L22</f>
        <v>80145</v>
      </c>
      <c r="M50" s="76">
        <f t="shared" si="9"/>
        <v>350757</v>
      </c>
    </row>
    <row r="51" spans="2:21">
      <c r="B51" s="9"/>
      <c r="C51" s="10" t="s">
        <v>428</v>
      </c>
      <c r="D51" s="10" t="s">
        <v>349</v>
      </c>
      <c r="E51" s="82">
        <f>E22</f>
        <v>143577</v>
      </c>
      <c r="F51" s="82">
        <v>0</v>
      </c>
      <c r="G51" s="82">
        <v>0</v>
      </c>
      <c r="H51" s="82">
        <v>279377</v>
      </c>
      <c r="I51" s="76">
        <f t="shared" si="8"/>
        <v>422954</v>
      </c>
      <c r="J51" s="82">
        <v>0</v>
      </c>
      <c r="K51" s="82">
        <v>0</v>
      </c>
      <c r="L51" s="82">
        <v>0</v>
      </c>
      <c r="M51" s="76">
        <f t="shared" si="9"/>
        <v>0</v>
      </c>
      <c r="N51" s="4"/>
      <c r="O51" s="4"/>
      <c r="P51" s="4"/>
      <c r="Q51" s="4"/>
      <c r="R51" s="4"/>
      <c r="S51" s="4"/>
      <c r="T51" s="4"/>
      <c r="U51" s="4"/>
    </row>
    <row r="52" spans="2:21">
      <c r="B52" s="9"/>
      <c r="C52" s="10" t="s">
        <v>637</v>
      </c>
      <c r="D52" s="10" t="s">
        <v>349</v>
      </c>
      <c r="E52" s="623" t="s">
        <v>26</v>
      </c>
      <c r="F52" s="623" t="s">
        <v>26</v>
      </c>
      <c r="G52" s="623" t="s">
        <v>26</v>
      </c>
      <c r="H52" s="623" t="s">
        <v>263</v>
      </c>
      <c r="I52" s="624" t="s">
        <v>26</v>
      </c>
      <c r="J52" s="82"/>
      <c r="K52" s="406"/>
      <c r="L52" s="82"/>
      <c r="M52" s="624" t="s">
        <v>26</v>
      </c>
      <c r="N52" s="4"/>
      <c r="O52" s="4"/>
      <c r="P52" s="4"/>
      <c r="Q52" s="4"/>
      <c r="R52" s="4"/>
      <c r="S52" s="4"/>
      <c r="T52" s="4"/>
      <c r="U52" s="4"/>
    </row>
    <row r="53" spans="2:21" s="172" customFormat="1">
      <c r="B53" s="186"/>
      <c r="C53" s="183" t="s">
        <v>429</v>
      </c>
      <c r="D53" s="10" t="s">
        <v>349</v>
      </c>
      <c r="E53" s="187">
        <f>SUM(E44:E51)</f>
        <v>510074</v>
      </c>
      <c r="F53" s="187">
        <f t="shared" ref="F53:M53" si="10">SUM(F44:F50)</f>
        <v>237782.66399999999</v>
      </c>
      <c r="G53" s="187">
        <f t="shared" si="10"/>
        <v>514405.8</v>
      </c>
      <c r="H53" s="187">
        <f t="shared" si="10"/>
        <v>1104799</v>
      </c>
      <c r="I53" s="188">
        <f>SUM(I44:I51)</f>
        <v>2646438.4640000002</v>
      </c>
      <c r="J53" s="187">
        <f t="shared" si="10"/>
        <v>689343</v>
      </c>
      <c r="K53" s="187">
        <f t="shared" si="10"/>
        <v>232191.31</v>
      </c>
      <c r="L53" s="187">
        <f t="shared" si="10"/>
        <v>232646.8</v>
      </c>
      <c r="M53" s="188">
        <f t="shared" si="10"/>
        <v>1154181.1100000001</v>
      </c>
      <c r="N53" s="189"/>
      <c r="O53" s="189"/>
      <c r="P53" s="189"/>
      <c r="Q53" s="189"/>
      <c r="R53" s="189"/>
      <c r="S53" s="189"/>
      <c r="T53" s="189"/>
      <c r="U53" s="189"/>
    </row>
    <row r="54" spans="2:21" s="172" customFormat="1" ht="29" customHeight="1">
      <c r="B54" s="642" t="s">
        <v>430</v>
      </c>
      <c r="C54" s="642"/>
      <c r="D54" s="10"/>
      <c r="E54" s="169"/>
      <c r="F54" s="190"/>
      <c r="G54" s="338"/>
      <c r="H54" s="169"/>
      <c r="I54" s="338"/>
      <c r="J54" s="169"/>
      <c r="K54" s="257"/>
      <c r="L54" s="169"/>
      <c r="M54" s="169"/>
      <c r="N54" s="169"/>
      <c r="O54" s="169"/>
      <c r="P54" s="169"/>
      <c r="Q54" s="170"/>
      <c r="R54" s="170"/>
      <c r="S54" s="170"/>
      <c r="T54" s="170"/>
      <c r="U54" s="170"/>
    </row>
    <row r="55" spans="2:21" ht="17" thickBot="1">
      <c r="B55" s="285"/>
      <c r="C55" s="614"/>
      <c r="D55" s="103"/>
      <c r="E55" s="286"/>
      <c r="F55" s="302"/>
      <c r="G55" s="294"/>
      <c r="H55" s="302"/>
      <c r="I55" s="288"/>
      <c r="J55" s="362"/>
      <c r="K55" s="362"/>
      <c r="L55" s="302"/>
      <c r="M55" s="288"/>
      <c r="N55" s="303"/>
      <c r="O55" s="304"/>
      <c r="P55" s="285"/>
      <c r="Q55" s="285"/>
      <c r="R55" s="285"/>
      <c r="S55" s="285"/>
      <c r="T55" s="285"/>
      <c r="U55" s="285"/>
    </row>
    <row r="56" spans="2:21">
      <c r="B56" s="7" t="s">
        <v>432</v>
      </c>
      <c r="C56" s="8"/>
      <c r="D56" s="14" t="s">
        <v>349</v>
      </c>
      <c r="E56" s="8"/>
      <c r="F56" s="8"/>
      <c r="G56" s="8"/>
      <c r="H56" s="8"/>
      <c r="I56" s="4"/>
      <c r="J56" s="8"/>
      <c r="K56" s="8"/>
      <c r="L56" s="8"/>
      <c r="M56" s="4"/>
      <c r="N56" s="4"/>
      <c r="O56" s="4"/>
      <c r="P56" s="4"/>
      <c r="Q56" s="4"/>
      <c r="R56" s="4"/>
      <c r="S56" s="4"/>
      <c r="T56" s="4"/>
      <c r="U56" s="4"/>
    </row>
    <row r="57" spans="2:21">
      <c r="B57" s="9"/>
      <c r="C57" s="10" t="s">
        <v>433</v>
      </c>
      <c r="D57" s="10" t="s">
        <v>349</v>
      </c>
      <c r="E57" s="82">
        <f>+E30+E31+E44+E45</f>
        <v>0</v>
      </c>
      <c r="F57" s="82">
        <f>+F30+F31+F44+F45</f>
        <v>21703.614000000001</v>
      </c>
      <c r="G57" s="82">
        <f>+G30+G31+G44+G45</f>
        <v>0</v>
      </c>
      <c r="H57" s="82">
        <f>+H30+H31+H44+H45</f>
        <v>104310</v>
      </c>
      <c r="I57" s="76">
        <f>SUM(E57:H57)</f>
        <v>126013.614</v>
      </c>
      <c r="J57" s="82">
        <f>+J30+J31+J44+J45</f>
        <v>35710</v>
      </c>
      <c r="K57" s="82">
        <f>+K30+K31+K44+K45</f>
        <v>28908.31</v>
      </c>
      <c r="L57" s="82">
        <f>+L30+L31+L44+L45</f>
        <v>0</v>
      </c>
      <c r="M57" s="76">
        <f>SUM(J57:L57)</f>
        <v>64618.31</v>
      </c>
      <c r="N57" s="55">
        <v>0</v>
      </c>
      <c r="O57" s="55">
        <v>0</v>
      </c>
      <c r="P57" s="55">
        <v>0</v>
      </c>
      <c r="Q57" s="76">
        <v>0</v>
      </c>
      <c r="R57" s="55"/>
      <c r="S57" s="55"/>
      <c r="T57" s="55"/>
      <c r="U57" s="76">
        <v>0</v>
      </c>
    </row>
    <row r="58" spans="2:21">
      <c r="B58" s="9"/>
      <c r="C58" s="10" t="s">
        <v>434</v>
      </c>
      <c r="D58" s="10" t="s">
        <v>349</v>
      </c>
      <c r="E58" s="82">
        <f>+E32+E33+E46+E47</f>
        <v>473074</v>
      </c>
      <c r="F58" s="82">
        <f>+F32+F33+F46+F47</f>
        <v>194500.97</v>
      </c>
      <c r="G58" s="397">
        <f>+G32+G33+G46+G47</f>
        <v>365147</v>
      </c>
      <c r="H58" s="82">
        <f>+H32+H33+H46+H47</f>
        <v>454880</v>
      </c>
      <c r="I58" s="76">
        <f>SUM(E58:H58)</f>
        <v>1487601.97</v>
      </c>
      <c r="J58" s="82">
        <f>+J32+J33+J46+J47</f>
        <v>519118</v>
      </c>
      <c r="K58" s="82">
        <f>+K32+K33+K46+K47</f>
        <v>181942.07</v>
      </c>
      <c r="L58" s="82">
        <f>+L32+L33+L46+L47</f>
        <v>162621.79999999999</v>
      </c>
      <c r="M58" s="76">
        <f>SUM(J58:L58)</f>
        <v>863681.87000000011</v>
      </c>
      <c r="N58" s="55">
        <v>660965.4</v>
      </c>
      <c r="O58" s="55">
        <v>189667</v>
      </c>
      <c r="P58" s="55">
        <v>0</v>
      </c>
      <c r="Q58" s="76">
        <f>SUM(N58:P58)</f>
        <v>850632.4</v>
      </c>
      <c r="R58" s="55">
        <v>546178</v>
      </c>
      <c r="S58" s="55">
        <v>181415</v>
      </c>
      <c r="T58" s="55">
        <v>2.5</v>
      </c>
      <c r="U58" s="76">
        <f>SUM(R58:T58)</f>
        <v>727595.5</v>
      </c>
    </row>
    <row r="59" spans="2:21">
      <c r="B59" s="9"/>
      <c r="C59" s="10" t="s">
        <v>435</v>
      </c>
      <c r="D59" s="10" t="s">
        <v>349</v>
      </c>
      <c r="E59" s="82">
        <f>+E34+E35+E48+E49</f>
        <v>0</v>
      </c>
      <c r="F59" s="82">
        <f>+F34+F35+F48+F49</f>
        <v>68479.69</v>
      </c>
      <c r="G59" s="82">
        <f>+G34+G35+G48+G49</f>
        <v>31711</v>
      </c>
      <c r="H59" s="82">
        <f>+H34+H35+H48+H49</f>
        <v>16433</v>
      </c>
      <c r="I59" s="76">
        <f>SUM(E59:H59)</f>
        <v>116623.69</v>
      </c>
      <c r="J59" s="82">
        <f>+J34+J35+J48+J49</f>
        <v>0</v>
      </c>
      <c r="K59" s="82">
        <f>+K34+K35+K48+K49</f>
        <v>66126.935000000012</v>
      </c>
      <c r="L59" s="82">
        <f>+L34+L35+L48+L49</f>
        <v>0</v>
      </c>
      <c r="M59" s="76">
        <f>SUM(J59:L59)</f>
        <v>66126.935000000012</v>
      </c>
      <c r="N59" s="55">
        <v>44980.5</v>
      </c>
      <c r="O59" s="55">
        <v>35277.49</v>
      </c>
      <c r="P59" s="55">
        <v>0</v>
      </c>
      <c r="Q59" s="76">
        <f>SUM(N59:P59)</f>
        <v>80257.989999999991</v>
      </c>
      <c r="R59" s="55">
        <v>55805</v>
      </c>
      <c r="S59" s="55">
        <v>31031</v>
      </c>
      <c r="T59" s="55">
        <v>320.5</v>
      </c>
      <c r="U59" s="76">
        <f>SUM(R59:T59)</f>
        <v>87156.5</v>
      </c>
    </row>
    <row r="60" spans="2:21">
      <c r="B60" s="9"/>
      <c r="C60" s="10" t="s">
        <v>436</v>
      </c>
      <c r="D60" s="10" t="s">
        <v>349</v>
      </c>
      <c r="E60" s="82">
        <f>+E36+E37+E50+E51</f>
        <v>158017.98000000001</v>
      </c>
      <c r="F60" s="82">
        <f>+F36+F37+F50+F51</f>
        <v>54070.12</v>
      </c>
      <c r="G60" s="82">
        <f>+G36+G37+G50+G51</f>
        <v>217509</v>
      </c>
      <c r="H60" s="82">
        <f>+H36+H37+H50+H51</f>
        <v>1316356</v>
      </c>
      <c r="I60" s="76">
        <f>SUM(E60:H60)</f>
        <v>1745953.1</v>
      </c>
      <c r="J60" s="82">
        <f>+J36+J37+J50+J51</f>
        <v>240187.29868312826</v>
      </c>
      <c r="K60" s="82">
        <f>+K36+K37+K50+K51</f>
        <v>50921.943801251502</v>
      </c>
      <c r="L60" s="82">
        <f>+L36+L37+L50+L51</f>
        <v>89085</v>
      </c>
      <c r="M60" s="76">
        <f>SUM(J60:L60)</f>
        <v>380194.24248437979</v>
      </c>
      <c r="N60" s="55">
        <f>50485.5+156523</f>
        <v>207008.5</v>
      </c>
      <c r="O60" s="55">
        <v>58957.97</v>
      </c>
      <c r="P60" s="55">
        <v>0</v>
      </c>
      <c r="Q60" s="76">
        <f>SUM(N60:P60)</f>
        <v>265966.46999999997</v>
      </c>
      <c r="R60" s="55">
        <v>159921</v>
      </c>
      <c r="S60" s="55">
        <f>68060+47</f>
        <v>68107</v>
      </c>
      <c r="T60" s="55">
        <v>7760</v>
      </c>
      <c r="U60" s="76">
        <f>SUM(R60:T60)</f>
        <v>235788</v>
      </c>
    </row>
    <row r="61" spans="2:21">
      <c r="B61" s="71"/>
      <c r="C61" s="183" t="s">
        <v>420</v>
      </c>
      <c r="D61" s="10" t="s">
        <v>349</v>
      </c>
      <c r="E61" s="95">
        <f>SUM(E57:E60)</f>
        <v>631091.98</v>
      </c>
      <c r="F61" s="95">
        <f t="shared" ref="F61:M61" si="11">SUM(F57:F60)</f>
        <v>338754.39399999997</v>
      </c>
      <c r="G61" s="95">
        <f t="shared" si="11"/>
        <v>614367</v>
      </c>
      <c r="H61" s="95">
        <f t="shared" si="11"/>
        <v>1891979</v>
      </c>
      <c r="I61" s="94">
        <f>SUM(I57:I60)</f>
        <v>3476192.3739999998</v>
      </c>
      <c r="J61" s="95">
        <f t="shared" si="11"/>
        <v>795015.29868312832</v>
      </c>
      <c r="K61" s="95">
        <f t="shared" si="11"/>
        <v>327899.25880125153</v>
      </c>
      <c r="L61" s="95">
        <f t="shared" si="11"/>
        <v>251706.8</v>
      </c>
      <c r="M61" s="94">
        <f t="shared" si="11"/>
        <v>1374621.35748438</v>
      </c>
      <c r="N61" s="96">
        <f>SUM(N58:N60)</f>
        <v>912954.4</v>
      </c>
      <c r="O61" s="96">
        <f>SUM(O58:O60)</f>
        <v>283902.45999999996</v>
      </c>
      <c r="P61" s="96">
        <f>SUM(P58:P60)</f>
        <v>0</v>
      </c>
      <c r="Q61" s="94">
        <f>SUM(Q57:Q60)</f>
        <v>1196856.8599999999</v>
      </c>
      <c r="R61" s="96">
        <f>SUM(R58:R60)</f>
        <v>761904</v>
      </c>
      <c r="S61" s="96">
        <f>SUM(S58:S60)</f>
        <v>280553</v>
      </c>
      <c r="T61" s="96">
        <f>SUM(T58:T60)</f>
        <v>8083</v>
      </c>
      <c r="U61" s="94">
        <f>SUM(U57:U60)</f>
        <v>1050540</v>
      </c>
    </row>
    <row r="62" spans="2:21">
      <c r="B62" s="9"/>
      <c r="C62" s="10" t="s">
        <v>433</v>
      </c>
      <c r="D62" s="10" t="s">
        <v>306</v>
      </c>
      <c r="E62" s="403">
        <f>+E57/$E$61</f>
        <v>0</v>
      </c>
      <c r="F62" s="403">
        <f>+F57/$F$61</f>
        <v>6.4068878173724891E-2</v>
      </c>
      <c r="G62" s="403">
        <f>+G57/$G$61</f>
        <v>0</v>
      </c>
      <c r="H62" s="403">
        <f>+H57/$H$61</f>
        <v>5.5132747245080417E-2</v>
      </c>
      <c r="I62" s="226">
        <f>+I57/$I$61</f>
        <v>3.6250471907858801E-2</v>
      </c>
      <c r="J62" s="228">
        <f>+J57/$J$61</f>
        <v>4.4917374620526695E-2</v>
      </c>
      <c r="K62" s="228">
        <f>+K57/$K$61</f>
        <v>8.8162169398260506E-2</v>
      </c>
      <c r="L62" s="228">
        <f>+L57/$L$61</f>
        <v>0</v>
      </c>
      <c r="M62" s="226">
        <f>+M57/$M$61</f>
        <v>4.700807945997177E-2</v>
      </c>
      <c r="N62" s="228">
        <f>+N57/$N$61</f>
        <v>0</v>
      </c>
      <c r="O62" s="228">
        <f>+O57/$O$61</f>
        <v>0</v>
      </c>
      <c r="P62" s="225">
        <v>0</v>
      </c>
      <c r="Q62" s="408">
        <f>+Q57/$Q$61</f>
        <v>0</v>
      </c>
      <c r="R62" s="228">
        <f>+R57/$R$61</f>
        <v>0</v>
      </c>
      <c r="S62" s="228">
        <f>+S57/$S$61</f>
        <v>0</v>
      </c>
      <c r="T62" s="228">
        <f>+T57/$T$61</f>
        <v>0</v>
      </c>
      <c r="U62" s="408">
        <f>+U57/$U$61</f>
        <v>0</v>
      </c>
    </row>
    <row r="63" spans="2:21">
      <c r="B63" s="9"/>
      <c r="C63" s="10" t="s">
        <v>434</v>
      </c>
      <c r="D63" s="10" t="s">
        <v>306</v>
      </c>
      <c r="E63" s="403">
        <f>+E58/$E$61</f>
        <v>0.74961180777483505</v>
      </c>
      <c r="F63" s="403">
        <f>+F58/$F$61</f>
        <v>0.57416515754479047</v>
      </c>
      <c r="G63" s="403">
        <f>+G58/$G$61</f>
        <v>0.59434670156437441</v>
      </c>
      <c r="H63" s="403">
        <f>+H58/$H$61</f>
        <v>0.24042550155154999</v>
      </c>
      <c r="I63" s="226">
        <f>+I58/$I$61</f>
        <v>0.42794005910790256</v>
      </c>
      <c r="J63" s="228">
        <f>+J58/$J$61</f>
        <v>0.65296605091735027</v>
      </c>
      <c r="K63" s="228">
        <f>+K58/$K$61</f>
        <v>0.5548718550482602</v>
      </c>
      <c r="L63" s="228">
        <f>+L58/$L$61</f>
        <v>0.64607630783117498</v>
      </c>
      <c r="M63" s="226">
        <f>+M58/$M$61</f>
        <v>0.62830528952392928</v>
      </c>
      <c r="N63" s="228">
        <f>+N58/$N$61</f>
        <v>0.72398511908152263</v>
      </c>
      <c r="O63" s="228">
        <f>+O58/$O$61</f>
        <v>0.66807099875076825</v>
      </c>
      <c r="P63" s="55">
        <v>0</v>
      </c>
      <c r="Q63" s="408">
        <f>+Q58/$Q$61</f>
        <v>0.71072191540097795</v>
      </c>
      <c r="R63" s="228">
        <f>+R58/$R$61</f>
        <v>0.71685934185934186</v>
      </c>
      <c r="S63" s="228">
        <f>+S58/$S$61</f>
        <v>0.64663361290023635</v>
      </c>
      <c r="T63" s="228">
        <f>+T58/$T$61</f>
        <v>3.0929110478782631E-4</v>
      </c>
      <c r="U63" s="408">
        <f>+U58/$U$61</f>
        <v>0.69259190511546442</v>
      </c>
    </row>
    <row r="64" spans="2:21">
      <c r="B64" s="9"/>
      <c r="C64" s="10" t="s">
        <v>435</v>
      </c>
      <c r="D64" s="10" t="s">
        <v>306</v>
      </c>
      <c r="E64" s="403">
        <f>+E59/$E$61</f>
        <v>0</v>
      </c>
      <c r="F64" s="403">
        <f>+F59/$F$61</f>
        <v>0.20215144427026976</v>
      </c>
      <c r="G64" s="403">
        <f>+G59/$G$61</f>
        <v>5.1615728058310426E-2</v>
      </c>
      <c r="H64" s="403">
        <f>+H59/$H$61</f>
        <v>8.6856143752124092E-3</v>
      </c>
      <c r="I64" s="226">
        <f>+I59/$I$61</f>
        <v>3.3549262368872575E-2</v>
      </c>
      <c r="J64" s="228">
        <f>+J59/$J$61</f>
        <v>0</v>
      </c>
      <c r="K64" s="228">
        <f>+K59/$K$61</f>
        <v>0.2016684491503572</v>
      </c>
      <c r="L64" s="228">
        <f>+L59/$L$61</f>
        <v>0</v>
      </c>
      <c r="M64" s="226">
        <f>+M59/$M$61</f>
        <v>4.8105563499329977E-2</v>
      </c>
      <c r="N64" s="228">
        <f>+N59/$N$61</f>
        <v>4.9269163936336798E-2</v>
      </c>
      <c r="O64" s="228">
        <f>+O59/$O$61</f>
        <v>0.12425919099115944</v>
      </c>
      <c r="P64" s="55">
        <v>0</v>
      </c>
      <c r="Q64" s="408">
        <f>+Q59/$Q$61</f>
        <v>6.7057300402656339E-2</v>
      </c>
      <c r="R64" s="228">
        <f>+R59/$R$61</f>
        <v>7.3244135744135741E-2</v>
      </c>
      <c r="S64" s="228">
        <f>+S59/$S$61</f>
        <v>0.11060655205968213</v>
      </c>
      <c r="T64" s="228">
        <f>+T59/$T$61</f>
        <v>3.9651119633799331E-2</v>
      </c>
      <c r="U64" s="408">
        <f>+U59/$U$61</f>
        <v>8.2963523521236704E-2</v>
      </c>
    </row>
    <row r="65" spans="2:22">
      <c r="B65" s="9"/>
      <c r="C65" s="10" t="s">
        <v>436</v>
      </c>
      <c r="D65" s="10" t="s">
        <v>306</v>
      </c>
      <c r="E65" s="403">
        <f>+E60/$E$61</f>
        <v>0.25038819222516506</v>
      </c>
      <c r="F65" s="403">
        <f>+F60/$F$61</f>
        <v>0.15961452001121498</v>
      </c>
      <c r="G65" s="403">
        <f>+G60/$G$61</f>
        <v>0.3540375703773152</v>
      </c>
      <c r="H65" s="403">
        <f>+H60/$H$61</f>
        <v>0.69575613682815718</v>
      </c>
      <c r="I65" s="226">
        <f>+I60/$I$61</f>
        <v>0.50226020661536619</v>
      </c>
      <c r="J65" s="228">
        <f>+J60/$J$61</f>
        <v>0.30211657446212298</v>
      </c>
      <c r="K65" s="228">
        <f>+K60/$K$61</f>
        <v>0.15529752640312203</v>
      </c>
      <c r="L65" s="228">
        <f>+L60/$L$61</f>
        <v>0.35392369216882502</v>
      </c>
      <c r="M65" s="226">
        <f>+M60/$M$61</f>
        <v>0.27658106751676886</v>
      </c>
      <c r="N65" s="228">
        <f>+N60/$N$61</f>
        <v>0.2267457169821406</v>
      </c>
      <c r="O65" s="228">
        <f>+O60/$O$61</f>
        <v>0.20766981025807246</v>
      </c>
      <c r="P65" s="55">
        <v>0</v>
      </c>
      <c r="Q65" s="408">
        <f>+Q60/$Q$61</f>
        <v>0.22222078419636582</v>
      </c>
      <c r="R65" s="228">
        <f>+R60/$R$61</f>
        <v>0.2098965223965224</v>
      </c>
      <c r="S65" s="228">
        <f>+S60/$S$61</f>
        <v>0.24275983504008156</v>
      </c>
      <c r="T65" s="228">
        <f>+T60/$T$61</f>
        <v>0.96003958926141286</v>
      </c>
      <c r="U65" s="408">
        <f>+U60/$U$61</f>
        <v>0.22444457136329887</v>
      </c>
    </row>
    <row r="66" spans="2:22" s="263" customFormat="1">
      <c r="B66" s="13"/>
      <c r="C66" s="183" t="s">
        <v>420</v>
      </c>
      <c r="D66" s="14" t="s">
        <v>306</v>
      </c>
      <c r="E66" s="420">
        <f>SUM(E62:E65)</f>
        <v>1</v>
      </c>
      <c r="F66" s="420">
        <f>+F61/$F$61</f>
        <v>1</v>
      </c>
      <c r="G66" s="420">
        <f>+G61/$G$61</f>
        <v>1</v>
      </c>
      <c r="H66" s="420">
        <f>+H61/$H$61</f>
        <v>1</v>
      </c>
      <c r="I66" s="369">
        <f>+I61/$I$61</f>
        <v>1</v>
      </c>
      <c r="J66" s="229">
        <f>SUM(J62:J65)</f>
        <v>1</v>
      </c>
      <c r="K66" s="229">
        <f>+K61/$K$61</f>
        <v>1</v>
      </c>
      <c r="L66" s="229">
        <f>+L61/$L$61</f>
        <v>1</v>
      </c>
      <c r="M66" s="230">
        <f>+M61/$M$61</f>
        <v>1</v>
      </c>
      <c r="N66" s="407">
        <f>SUM(N63:N65)</f>
        <v>1</v>
      </c>
      <c r="O66" s="407">
        <f>SUM(O63:O65)</f>
        <v>1.0000000000000002</v>
      </c>
      <c r="P66" s="96">
        <f>SUM(P63:P65)</f>
        <v>0</v>
      </c>
      <c r="Q66" s="230">
        <f>SUM(Q62:Q65)</f>
        <v>1</v>
      </c>
      <c r="R66" s="407">
        <f>SUM(R63:R65)</f>
        <v>1</v>
      </c>
      <c r="S66" s="407">
        <f>SUM(S63:S65)</f>
        <v>1</v>
      </c>
      <c r="T66" s="407">
        <f>SUM(T63:T65)</f>
        <v>1</v>
      </c>
      <c r="U66" s="230">
        <f>SUM(U62:U65)</f>
        <v>1</v>
      </c>
    </row>
    <row r="67" spans="2:22" s="260" customFormat="1">
      <c r="B67" s="182"/>
      <c r="C67" s="183" t="s">
        <v>437</v>
      </c>
      <c r="D67" s="14" t="s">
        <v>306</v>
      </c>
      <c r="E67" s="258">
        <f t="shared" ref="E67:U67" si="12">+(E57+E58+E59)/E61</f>
        <v>0.74961180777483505</v>
      </c>
      <c r="F67" s="258">
        <f t="shared" si="12"/>
        <v>0.84038547998878499</v>
      </c>
      <c r="G67" s="258">
        <f t="shared" si="12"/>
        <v>0.6459624296226848</v>
      </c>
      <c r="H67" s="258">
        <f>+(H57+H58+H59)/H61</f>
        <v>0.30424386317184282</v>
      </c>
      <c r="I67" s="361">
        <f>+(I57+I58+I59)/I61</f>
        <v>0.49773979338463392</v>
      </c>
      <c r="J67" s="261">
        <f t="shared" si="12"/>
        <v>0.69788342553787697</v>
      </c>
      <c r="K67" s="258">
        <f t="shared" si="12"/>
        <v>0.84470247359687789</v>
      </c>
      <c r="L67" s="258">
        <f t="shared" si="12"/>
        <v>0.64607630783117498</v>
      </c>
      <c r="M67" s="264">
        <f t="shared" si="12"/>
        <v>0.72341893248323108</v>
      </c>
      <c r="N67" s="258">
        <f t="shared" si="12"/>
        <v>0.77325428301785937</v>
      </c>
      <c r="O67" s="258">
        <f t="shared" si="12"/>
        <v>0.79233018974192759</v>
      </c>
      <c r="P67" s="259" t="s">
        <v>93</v>
      </c>
      <c r="Q67" s="409">
        <f t="shared" si="12"/>
        <v>0.77777921580363429</v>
      </c>
      <c r="R67" s="258">
        <f t="shared" si="12"/>
        <v>0.79010347760347766</v>
      </c>
      <c r="S67" s="258">
        <f t="shared" si="12"/>
        <v>0.75724016495991842</v>
      </c>
      <c r="T67" s="258">
        <f t="shared" si="12"/>
        <v>3.9960410738587158E-2</v>
      </c>
      <c r="U67" s="409">
        <f t="shared" si="12"/>
        <v>0.77555542863670113</v>
      </c>
      <c r="V67" s="263"/>
    </row>
    <row r="68" spans="2:22" ht="17" thickBot="1">
      <c r="B68" s="285"/>
      <c r="C68" s="614"/>
      <c r="D68" s="103"/>
      <c r="E68" s="286"/>
      <c r="F68" s="302"/>
      <c r="G68" s="294"/>
      <c r="H68" s="302"/>
      <c r="I68" s="288"/>
      <c r="J68" s="362"/>
      <c r="K68" s="362"/>
      <c r="L68" s="302"/>
      <c r="M68" s="288"/>
      <c r="N68" s="303"/>
      <c r="O68" s="304"/>
      <c r="P68" s="285"/>
      <c r="Q68" s="285"/>
      <c r="R68" s="285"/>
      <c r="S68" s="285"/>
      <c r="T68" s="285"/>
      <c r="U68" s="285"/>
    </row>
    <row r="69" spans="2:22">
      <c r="B69" s="7" t="s">
        <v>438</v>
      </c>
      <c r="C69" s="8"/>
      <c r="D69" s="10"/>
      <c r="E69" s="8"/>
      <c r="F69" s="8"/>
      <c r="G69" s="8"/>
      <c r="H69" s="8"/>
      <c r="I69" s="4"/>
      <c r="J69" s="8"/>
      <c r="K69" s="8"/>
      <c r="L69" s="8"/>
      <c r="M69" s="4"/>
      <c r="N69" s="4"/>
      <c r="O69" s="5"/>
      <c r="P69" s="4"/>
      <c r="Q69" s="4"/>
      <c r="R69" s="4"/>
      <c r="S69" s="4"/>
      <c r="T69" s="4"/>
      <c r="U69" s="4"/>
    </row>
    <row r="70" spans="2:22">
      <c r="B70" s="9"/>
      <c r="C70" s="10" t="s">
        <v>439</v>
      </c>
      <c r="D70" s="10" t="s">
        <v>347</v>
      </c>
      <c r="E70" s="397">
        <v>0</v>
      </c>
      <c r="F70" s="82">
        <v>93936</v>
      </c>
      <c r="G70" s="82">
        <v>441610</v>
      </c>
      <c r="H70" s="363">
        <v>423751.5</v>
      </c>
      <c r="I70" s="76">
        <f>SUM(E70:H70)</f>
        <v>959297.5</v>
      </c>
      <c r="J70" s="82">
        <v>65001</v>
      </c>
      <c r="K70" s="82">
        <v>124573</v>
      </c>
      <c r="L70" s="82">
        <v>0</v>
      </c>
      <c r="M70" s="76">
        <f>SUM(J70:L70)</f>
        <v>189574</v>
      </c>
      <c r="N70" s="55">
        <f>188364-N71</f>
        <v>170838</v>
      </c>
      <c r="O70" s="55">
        <v>126259</v>
      </c>
      <c r="P70" s="123" t="s">
        <v>93</v>
      </c>
      <c r="Q70" s="76">
        <f>SUM(N70:P70)</f>
        <v>297097</v>
      </c>
      <c r="R70" s="55">
        <v>163211</v>
      </c>
      <c r="S70" s="55">
        <v>81106</v>
      </c>
      <c r="T70" s="55" t="s">
        <v>93</v>
      </c>
      <c r="U70" s="76">
        <f>SUM(R70:T70)</f>
        <v>244317</v>
      </c>
    </row>
    <row r="71" spans="2:22">
      <c r="B71" s="9"/>
      <c r="C71" s="10" t="s">
        <v>440</v>
      </c>
      <c r="D71" s="10" t="s">
        <v>347</v>
      </c>
      <c r="E71" s="397">
        <v>216125</v>
      </c>
      <c r="F71" s="82">
        <v>108469</v>
      </c>
      <c r="G71" s="82">
        <v>398089</v>
      </c>
      <c r="H71" s="82">
        <v>462935</v>
      </c>
      <c r="I71" s="76">
        <f>SUM(E71:H71)</f>
        <v>1185618</v>
      </c>
      <c r="J71" s="82">
        <v>110214</v>
      </c>
      <c r="K71" s="82">
        <v>102488</v>
      </c>
      <c r="L71" s="82">
        <v>114676.4</v>
      </c>
      <c r="M71" s="76">
        <f>SUM(J71:L71)</f>
        <v>327378.40000000002</v>
      </c>
      <c r="N71" s="55">
        <f>4611+2810+4045+3859+1430+676+95</f>
        <v>17526</v>
      </c>
      <c r="O71" s="55">
        <v>126003</v>
      </c>
      <c r="P71" s="123" t="s">
        <v>93</v>
      </c>
      <c r="Q71" s="76">
        <f>SUM(N71:P71)</f>
        <v>143529</v>
      </c>
      <c r="R71" s="55">
        <v>79468</v>
      </c>
      <c r="S71" s="55">
        <v>208159</v>
      </c>
      <c r="T71" s="55" t="s">
        <v>93</v>
      </c>
      <c r="U71" s="76">
        <f>SUM(R71:T71)</f>
        <v>287627</v>
      </c>
    </row>
    <row r="72" spans="2:22">
      <c r="B72" s="13"/>
      <c r="C72" s="14" t="s">
        <v>441</v>
      </c>
      <c r="D72" s="14" t="s">
        <v>347</v>
      </c>
      <c r="E72" s="396">
        <f>SUM(E70:E71)</f>
        <v>216125</v>
      </c>
      <c r="F72" s="95">
        <f>SUM(F70:F71)</f>
        <v>202405</v>
      </c>
      <c r="G72" s="95">
        <f>SUM(G70:G71)</f>
        <v>839699</v>
      </c>
      <c r="H72" s="95">
        <f>SUM(H70:H71)</f>
        <v>886686.5</v>
      </c>
      <c r="I72" s="76">
        <f>SUM(E72:H72)</f>
        <v>2144915.5</v>
      </c>
      <c r="J72" s="95">
        <f>SUM(J70:J71)</f>
        <v>175215</v>
      </c>
      <c r="K72" s="95">
        <f>SUM(K70:K71)</f>
        <v>227061</v>
      </c>
      <c r="L72" s="95">
        <f>SUM(L70:L71)</f>
        <v>114676.4</v>
      </c>
      <c r="M72" s="76">
        <f>SUM(J72:L72)</f>
        <v>516952.4</v>
      </c>
      <c r="N72" s="96">
        <f>SUM(N70:N71)</f>
        <v>188364</v>
      </c>
      <c r="O72" s="96">
        <f>SUM(O70:O71)</f>
        <v>252262</v>
      </c>
      <c r="P72" s="124" t="s">
        <v>93</v>
      </c>
      <c r="Q72" s="94">
        <f>SUM(N72:P72)</f>
        <v>440626</v>
      </c>
      <c r="R72" s="96">
        <v>242679</v>
      </c>
      <c r="S72" s="96">
        <v>289265</v>
      </c>
      <c r="T72" s="96" t="s">
        <v>93</v>
      </c>
      <c r="U72" s="94">
        <f>SUM(R72:T72)</f>
        <v>531944</v>
      </c>
    </row>
    <row r="73" spans="2:22">
      <c r="B73" s="9"/>
      <c r="C73" s="10" t="s">
        <v>442</v>
      </c>
      <c r="D73" s="10" t="s">
        <v>347</v>
      </c>
      <c r="E73" s="397">
        <v>402882.04</v>
      </c>
      <c r="F73" s="82">
        <v>388007</v>
      </c>
      <c r="G73" s="397">
        <f>338252-6780.79</f>
        <v>331471.21000000002</v>
      </c>
      <c r="H73" s="421">
        <v>683276</v>
      </c>
      <c r="I73" s="76">
        <f>SUM(E73:H73)</f>
        <v>1805636.25</v>
      </c>
      <c r="J73" s="82">
        <f>353792-125.93371</f>
        <v>353666.06628999999</v>
      </c>
      <c r="K73" s="82">
        <v>421228</v>
      </c>
      <c r="L73" s="761" t="s">
        <v>26</v>
      </c>
      <c r="M73" s="76">
        <f>SUM(J73:L73)</f>
        <v>774894.06628999999</v>
      </c>
      <c r="N73" s="55">
        <v>533817</v>
      </c>
      <c r="O73" s="55">
        <v>434438</v>
      </c>
      <c r="P73" s="123" t="s">
        <v>93</v>
      </c>
      <c r="Q73" s="76">
        <f>SUM(N73:P73)</f>
        <v>968255</v>
      </c>
      <c r="R73" s="55">
        <v>406314</v>
      </c>
      <c r="S73" s="55">
        <v>415442</v>
      </c>
      <c r="T73" s="55" t="s">
        <v>93</v>
      </c>
      <c r="U73" s="76">
        <f>SUM(R73:T73)</f>
        <v>821756</v>
      </c>
    </row>
    <row r="74" spans="2:22" ht="16" customHeight="1">
      <c r="B74" s="9"/>
      <c r="C74" s="10" t="s">
        <v>443</v>
      </c>
      <c r="D74" s="10" t="s">
        <v>347</v>
      </c>
      <c r="E74" s="82">
        <v>0</v>
      </c>
      <c r="F74" s="82">
        <v>0</v>
      </c>
      <c r="G74" s="397">
        <v>5940</v>
      </c>
      <c r="H74" s="372">
        <v>0</v>
      </c>
      <c r="I74" s="76">
        <f>SUM(E74:H74)</f>
        <v>5940</v>
      </c>
      <c r="J74" s="82">
        <v>0</v>
      </c>
      <c r="K74" s="82">
        <v>0</v>
      </c>
      <c r="L74" s="757"/>
      <c r="M74" s="76">
        <f>SUM(J74:L74)</f>
        <v>0</v>
      </c>
      <c r="N74" s="55">
        <v>0</v>
      </c>
      <c r="O74" s="55">
        <v>0</v>
      </c>
      <c r="P74" s="123" t="s">
        <v>93</v>
      </c>
      <c r="Q74" s="76">
        <f>SUM(N74:P74)</f>
        <v>0</v>
      </c>
      <c r="R74" s="55"/>
      <c r="S74" s="55"/>
      <c r="T74" s="55" t="s">
        <v>93</v>
      </c>
      <c r="U74" s="76">
        <f>SUM(R74:T74)</f>
        <v>0</v>
      </c>
    </row>
    <row r="75" spans="2:22">
      <c r="B75" s="13"/>
      <c r="C75" s="14" t="s">
        <v>444</v>
      </c>
      <c r="D75" s="14" t="s">
        <v>347</v>
      </c>
      <c r="E75" s="95">
        <f t="shared" ref="E75:O75" si="13">SUM(E72:E74)</f>
        <v>619007.04</v>
      </c>
      <c r="F75" s="95">
        <f t="shared" si="13"/>
        <v>590412</v>
      </c>
      <c r="G75" s="95">
        <f t="shared" si="13"/>
        <v>1177110.21</v>
      </c>
      <c r="H75" s="95">
        <f t="shared" si="13"/>
        <v>1569962.5</v>
      </c>
      <c r="I75" s="94">
        <f t="shared" si="13"/>
        <v>3956491.75</v>
      </c>
      <c r="J75" s="95">
        <f t="shared" si="13"/>
        <v>528881.06628999999</v>
      </c>
      <c r="K75" s="95">
        <f t="shared" si="13"/>
        <v>648289</v>
      </c>
      <c r="L75" s="95">
        <f t="shared" si="13"/>
        <v>114676.4</v>
      </c>
      <c r="M75" s="94">
        <f t="shared" si="13"/>
        <v>1291846.4662899999</v>
      </c>
      <c r="N75" s="96">
        <f t="shared" si="13"/>
        <v>722181</v>
      </c>
      <c r="O75" s="96">
        <f t="shared" si="13"/>
        <v>686700</v>
      </c>
      <c r="P75" s="124" t="s">
        <v>93</v>
      </c>
      <c r="Q75" s="94">
        <f>SUM(Q72:Q74)</f>
        <v>1408881</v>
      </c>
      <c r="R75" s="96">
        <f>SUM(R72:R74)</f>
        <v>648993</v>
      </c>
      <c r="S75" s="96">
        <f>SUM(S72:S74)</f>
        <v>704707</v>
      </c>
      <c r="T75" s="96" t="s">
        <v>93</v>
      </c>
      <c r="U75" s="94">
        <f>SUM(U72:U74)</f>
        <v>1353700</v>
      </c>
    </row>
    <row r="76" spans="2:22" ht="17" thickBot="1">
      <c r="B76" s="285"/>
      <c r="C76" s="286"/>
      <c r="D76" s="10"/>
      <c r="E76" s="286"/>
      <c r="F76" s="286"/>
      <c r="G76" s="286"/>
      <c r="H76" s="286"/>
      <c r="I76" s="286"/>
      <c r="J76" s="286"/>
      <c r="K76" s="286"/>
      <c r="L76" s="286"/>
      <c r="M76" s="286"/>
      <c r="N76" s="286"/>
      <c r="O76" s="286"/>
      <c r="P76" s="306"/>
      <c r="Q76" s="286"/>
      <c r="R76" s="286"/>
      <c r="S76" s="286"/>
      <c r="T76" s="286"/>
      <c r="U76" s="286"/>
    </row>
    <row r="77" spans="2:22" hidden="1">
      <c r="B77" s="7" t="s">
        <v>616</v>
      </c>
      <c r="C77" s="8"/>
      <c r="D77" s="10"/>
      <c r="E77" s="8"/>
      <c r="F77" s="8"/>
      <c r="G77" s="8"/>
      <c r="H77" s="8"/>
      <c r="I77" s="4"/>
      <c r="J77" s="8"/>
      <c r="K77" s="8"/>
      <c r="L77" s="8"/>
      <c r="M77" s="4"/>
      <c r="N77" s="4"/>
      <c r="O77" s="4"/>
      <c r="P77" s="4"/>
      <c r="Q77" s="4"/>
      <c r="R77" s="4"/>
      <c r="S77" s="4"/>
      <c r="T77" s="4"/>
      <c r="U77" s="4"/>
    </row>
    <row r="78" spans="2:22" hidden="1">
      <c r="B78" s="9"/>
      <c r="C78" s="10" t="s">
        <v>445</v>
      </c>
      <c r="D78" s="10" t="s">
        <v>446</v>
      </c>
      <c r="E78" s="422">
        <v>2881792.02</v>
      </c>
      <c r="F78" s="422">
        <v>836104</v>
      </c>
      <c r="G78" s="423">
        <v>12590135</v>
      </c>
      <c r="H78" s="422">
        <v>132918.86834733892</v>
      </c>
      <c r="I78" s="194">
        <f>SUM(E78:H78)</f>
        <v>16440949.888347339</v>
      </c>
      <c r="J78" s="193">
        <v>1895729</v>
      </c>
      <c r="K78" s="193">
        <v>736172</v>
      </c>
      <c r="L78" s="193">
        <f>747354+3630640</f>
        <v>4377994</v>
      </c>
      <c r="M78" s="194">
        <f>SUM(J78:L78)</f>
        <v>7009895</v>
      </c>
      <c r="N78" s="195">
        <v>2686543.83</v>
      </c>
      <c r="O78" s="195">
        <v>584504.84</v>
      </c>
      <c r="P78" s="195">
        <v>321298.66760000004</v>
      </c>
      <c r="Q78" s="194">
        <f>SUM(N78:P78)</f>
        <v>3592347.3376000002</v>
      </c>
      <c r="R78" s="195">
        <v>1885116</v>
      </c>
      <c r="S78" s="195">
        <v>588702</v>
      </c>
      <c r="T78" s="195">
        <v>4900445.2607999993</v>
      </c>
      <c r="U78" s="194">
        <f>SUM(R78:T78)</f>
        <v>7374263.2607999993</v>
      </c>
    </row>
    <row r="79" spans="2:22" hidden="1">
      <c r="B79" s="9"/>
      <c r="C79" s="10" t="s">
        <v>447</v>
      </c>
      <c r="D79" s="10" t="s">
        <v>446</v>
      </c>
      <c r="E79" s="422">
        <v>1140299.55</v>
      </c>
      <c r="F79" s="422">
        <v>309639</v>
      </c>
      <c r="G79" s="424">
        <v>7011147</v>
      </c>
      <c r="H79" s="422">
        <v>104133.5</v>
      </c>
      <c r="I79" s="194">
        <f>SUM(E79:H79)</f>
        <v>8565219.0500000007</v>
      </c>
      <c r="J79" s="193">
        <v>200000</v>
      </c>
      <c r="K79" s="193">
        <v>296224.06</v>
      </c>
      <c r="L79" s="193">
        <f>2419231+(18.1158*687657)</f>
        <v>14876687.680600001</v>
      </c>
      <c r="M79" s="194">
        <f>SUM(J79:L79)</f>
        <v>15372911.740600001</v>
      </c>
      <c r="N79" s="195">
        <v>51121.58</v>
      </c>
      <c r="O79" s="195">
        <v>1389794.7300000002</v>
      </c>
      <c r="P79" s="195">
        <v>8826874.7564000003</v>
      </c>
      <c r="Q79" s="194">
        <f>SUM(N79:P79)</f>
        <v>10267791.066400001</v>
      </c>
      <c r="R79" s="195">
        <v>95000</v>
      </c>
      <c r="S79" s="195">
        <v>254250</v>
      </c>
      <c r="T79" s="195">
        <v>1803105.56</v>
      </c>
      <c r="U79" s="194">
        <f>SUM(R79:T79)</f>
        <v>2152355.56</v>
      </c>
    </row>
    <row r="80" spans="2:22" hidden="1">
      <c r="B80" s="9"/>
      <c r="C80" s="10" t="s">
        <v>448</v>
      </c>
      <c r="D80" s="10" t="s">
        <v>446</v>
      </c>
      <c r="E80" s="422">
        <v>666444</v>
      </c>
      <c r="F80" s="422">
        <v>936583</v>
      </c>
      <c r="G80" s="424">
        <v>10400196</v>
      </c>
      <c r="H80" s="422">
        <v>233438.5</v>
      </c>
      <c r="I80" s="194">
        <f>SUM(E80:H80)</f>
        <v>12236661.5</v>
      </c>
      <c r="J80" s="193">
        <v>613828</v>
      </c>
      <c r="K80" s="193">
        <v>759725</v>
      </c>
      <c r="L80" s="193">
        <f>76269+(38236*20)+1374720+3290760</f>
        <v>5506469</v>
      </c>
      <c r="M80" s="194">
        <f>SUM(J80:L80)</f>
        <v>6880022</v>
      </c>
      <c r="N80" s="195">
        <v>344651.55</v>
      </c>
      <c r="O80" s="195">
        <v>728589</v>
      </c>
      <c r="P80" s="195">
        <v>276476.99840000004</v>
      </c>
      <c r="Q80" s="194">
        <f>SUM(N80:P80)</f>
        <v>1349717.5484000002</v>
      </c>
      <c r="R80" s="195">
        <v>2329195</v>
      </c>
      <c r="S80" s="195">
        <v>530084</v>
      </c>
      <c r="T80" s="195">
        <v>195806.44999999998</v>
      </c>
      <c r="U80" s="194">
        <f>SUM(R80:T80)</f>
        <v>3055085.45</v>
      </c>
    </row>
    <row r="81" spans="2:21" hidden="1">
      <c r="B81" s="9"/>
      <c r="C81" s="10" t="s">
        <v>449</v>
      </c>
      <c r="D81" s="10" t="s">
        <v>446</v>
      </c>
      <c r="E81" s="425">
        <v>274883</v>
      </c>
      <c r="F81" s="425">
        <v>166650</v>
      </c>
      <c r="G81" s="424">
        <v>4775572</v>
      </c>
      <c r="H81" s="422">
        <v>124863.58543417367</v>
      </c>
      <c r="I81" s="194">
        <f>SUM(E81:H81)</f>
        <v>5341968.5854341732</v>
      </c>
      <c r="J81" s="193">
        <v>2312521</v>
      </c>
      <c r="K81" s="193">
        <v>44480</v>
      </c>
      <c r="L81" s="193">
        <v>1085127</v>
      </c>
      <c r="M81" s="194">
        <f>SUM(J81:L81)</f>
        <v>3442128</v>
      </c>
      <c r="N81" s="195">
        <v>3489106.74</v>
      </c>
      <c r="O81" s="195">
        <v>299048</v>
      </c>
      <c r="P81" s="195">
        <v>32923754.621999998</v>
      </c>
      <c r="Q81" s="194">
        <f>SUM(N81:P81)</f>
        <v>36711909.361999996</v>
      </c>
      <c r="R81" s="195">
        <v>1288188.26</v>
      </c>
      <c r="S81" s="195">
        <v>559041.91</v>
      </c>
      <c r="T81" s="195">
        <v>7441275.4211999988</v>
      </c>
      <c r="U81" s="194">
        <f>SUM(R81:T81)</f>
        <v>9288505.5911999978</v>
      </c>
    </row>
    <row r="82" spans="2:21" hidden="1">
      <c r="B82" s="9"/>
      <c r="C82" s="10" t="s">
        <v>450</v>
      </c>
      <c r="D82" s="10" t="s">
        <v>446</v>
      </c>
      <c r="E82" s="388">
        <f>3316209.76+ 44370017.44</f>
        <v>47686227.199999996</v>
      </c>
      <c r="F82" s="387">
        <v>11765511.07</v>
      </c>
      <c r="G82" s="413">
        <v>174040138.86000001</v>
      </c>
      <c r="H82" s="340">
        <f>H90*Business!D99</f>
        <v>112802217.90750001</v>
      </c>
      <c r="I82" s="194">
        <f>SUM(E82:H82)</f>
        <v>346294095.03750002</v>
      </c>
      <c r="J82" s="193">
        <v>36050595</v>
      </c>
      <c r="K82" s="193">
        <v>9950812</v>
      </c>
      <c r="L82" s="196">
        <f>+L90*Business!M99</f>
        <v>0</v>
      </c>
      <c r="M82" s="194">
        <f>SUM(J82:L82)</f>
        <v>46001407</v>
      </c>
      <c r="N82" s="195">
        <v>18031550</v>
      </c>
      <c r="O82" s="195">
        <v>41703244</v>
      </c>
      <c r="P82" s="196"/>
      <c r="Q82" s="194">
        <f>SUM(N82:P82)</f>
        <v>59734794</v>
      </c>
      <c r="R82" s="195">
        <v>66156708.93</v>
      </c>
      <c r="S82" s="195">
        <v>15917715.83</v>
      </c>
      <c r="T82" s="196" t="s">
        <v>26</v>
      </c>
      <c r="U82" s="194">
        <f>SUM(R82:T82)</f>
        <v>82074424.760000005</v>
      </c>
    </row>
    <row r="83" spans="2:21" hidden="1">
      <c r="B83" s="13"/>
      <c r="C83" s="14" t="s">
        <v>451</v>
      </c>
      <c r="D83" s="14" t="s">
        <v>446</v>
      </c>
      <c r="E83" s="426">
        <f t="shared" ref="E83:U83" si="14">SUM(E78:E82)</f>
        <v>52649645.769999996</v>
      </c>
      <c r="F83" s="426">
        <f t="shared" si="14"/>
        <v>14014487.07</v>
      </c>
      <c r="G83" s="426">
        <f t="shared" si="14"/>
        <v>208817188.86000001</v>
      </c>
      <c r="H83" s="426">
        <f>SUM(H78:H82)</f>
        <v>113397572.36128153</v>
      </c>
      <c r="I83" s="198">
        <f>SUM(I78:I82)</f>
        <v>388878894.06128156</v>
      </c>
      <c r="J83" s="197">
        <f t="shared" si="14"/>
        <v>41072673</v>
      </c>
      <c r="K83" s="197">
        <f t="shared" si="14"/>
        <v>11787413.060000001</v>
      </c>
      <c r="L83" s="197">
        <f t="shared" si="14"/>
        <v>25846277.680600002</v>
      </c>
      <c r="M83" s="198">
        <f t="shared" si="14"/>
        <v>78706363.740600005</v>
      </c>
      <c r="N83" s="199">
        <f t="shared" si="14"/>
        <v>24602973.699999999</v>
      </c>
      <c r="O83" s="199">
        <f t="shared" si="14"/>
        <v>44705180.57</v>
      </c>
      <c r="P83" s="199">
        <f t="shared" si="14"/>
        <v>42348405.044399999</v>
      </c>
      <c r="Q83" s="198">
        <f t="shared" si="14"/>
        <v>111656559.31439999</v>
      </c>
      <c r="R83" s="199">
        <f t="shared" si="14"/>
        <v>71754208.189999998</v>
      </c>
      <c r="S83" s="199">
        <f t="shared" si="14"/>
        <v>17849793.740000002</v>
      </c>
      <c r="T83" s="199">
        <f t="shared" si="14"/>
        <v>14340632.691999998</v>
      </c>
      <c r="U83" s="198">
        <f t="shared" si="14"/>
        <v>103944634.62200001</v>
      </c>
    </row>
    <row r="84" spans="2:21" ht="17" hidden="1" thickBot="1">
      <c r="B84" s="285"/>
      <c r="C84" s="614"/>
      <c r="D84" s="103"/>
      <c r="E84" s="286"/>
      <c r="F84" s="302"/>
      <c r="G84" s="294"/>
      <c r="H84" s="302"/>
      <c r="I84" s="288"/>
      <c r="J84" s="362"/>
      <c r="K84" s="362"/>
      <c r="L84" s="302"/>
      <c r="M84" s="288"/>
      <c r="N84" s="303"/>
      <c r="O84" s="304"/>
      <c r="P84" s="285"/>
      <c r="Q84" s="285"/>
      <c r="R84" s="285"/>
      <c r="S84" s="285"/>
      <c r="T84" s="285"/>
      <c r="U84" s="285"/>
    </row>
    <row r="85" spans="2:21">
      <c r="B85" s="7" t="s">
        <v>452</v>
      </c>
      <c r="C85" s="8"/>
      <c r="D85" s="8"/>
      <c r="E85" s="8"/>
      <c r="F85" s="8"/>
      <c r="G85" s="8"/>
      <c r="H85" s="8"/>
      <c r="I85" s="4"/>
      <c r="J85" s="8"/>
      <c r="K85" s="8"/>
      <c r="L85" s="8"/>
      <c r="M85" s="4"/>
      <c r="N85" s="5"/>
      <c r="O85" s="5"/>
      <c r="P85" s="4"/>
      <c r="Q85" s="4"/>
      <c r="R85" s="5"/>
      <c r="S85" s="5"/>
      <c r="T85" s="4"/>
      <c r="U85" s="4"/>
    </row>
    <row r="86" spans="2:21">
      <c r="B86" s="9"/>
      <c r="C86" s="10" t="s">
        <v>445</v>
      </c>
      <c r="D86" s="10" t="s">
        <v>362</v>
      </c>
      <c r="E86" s="125">
        <f>E78/Business!$D$99</f>
        <v>150328.22222222222</v>
      </c>
      <c r="F86" s="125">
        <f>F78/Business!$D$99</f>
        <v>43615.232133541991</v>
      </c>
      <c r="G86" s="125">
        <f>G78/Business!$D$99</f>
        <v>656762.38914971298</v>
      </c>
      <c r="H86" s="125">
        <f>H78/Business!$D$100</f>
        <v>37761.042144130377</v>
      </c>
      <c r="I86" s="65">
        <f t="shared" ref="I86:I91" si="15">SUM(E86:H86)</f>
        <v>888466.88564960752</v>
      </c>
      <c r="J86" s="125">
        <v>104809.9495225932</v>
      </c>
      <c r="K86" s="125">
        <v>40701.044379205297</v>
      </c>
      <c r="L86" s="125">
        <v>242047.95630082989</v>
      </c>
      <c r="M86" s="65">
        <f t="shared" ref="M86:M91" si="16">SUM(J86:L86)</f>
        <v>387558.95020262839</v>
      </c>
      <c r="N86" s="66">
        <v>151646.802263244</v>
      </c>
      <c r="O86" s="66">
        <v>32993.427802512</v>
      </c>
      <c r="P86" s="66">
        <v>18136.281630283684</v>
      </c>
      <c r="Q86" s="65">
        <f t="shared" ref="Q86:Q91" si="17">SUM(N86:P86)</f>
        <v>202776.5116960397</v>
      </c>
      <c r="R86" s="66">
        <v>93746.818680000011</v>
      </c>
      <c r="S86" s="66">
        <v>29276.150460000001</v>
      </c>
      <c r="T86" s="66">
        <v>243699.142819584</v>
      </c>
      <c r="U86" s="65">
        <f>SUM(R86:T86)</f>
        <v>366722.111959584</v>
      </c>
    </row>
    <row r="87" spans="2:21">
      <c r="B87" s="9"/>
      <c r="C87" s="10" t="s">
        <v>447</v>
      </c>
      <c r="D87" s="10" t="s">
        <v>362</v>
      </c>
      <c r="E87" s="125">
        <f>E79/Business!$D$99</f>
        <v>59483.544600938963</v>
      </c>
      <c r="F87" s="125">
        <f>F79/Business!$D$99</f>
        <v>16152.269170579028</v>
      </c>
      <c r="G87" s="125">
        <f>G79/Business!$D$99</f>
        <v>365735.3677621283</v>
      </c>
      <c r="H87" s="125">
        <f>H79/Business!$D$100</f>
        <v>29583.38068181818</v>
      </c>
      <c r="I87" s="65">
        <f t="shared" si="15"/>
        <v>470954.56221546448</v>
      </c>
      <c r="J87" s="125">
        <v>11057.482321850139</v>
      </c>
      <c r="K87" s="125">
        <v>16377.461533783373</v>
      </c>
      <c r="L87" s="125">
        <v>822493.55517960119</v>
      </c>
      <c r="M87" s="65">
        <f t="shared" si="16"/>
        <v>849928.49903523468</v>
      </c>
      <c r="N87" s="66">
        <v>2885.6496019440001</v>
      </c>
      <c r="O87" s="66">
        <v>78449.465165364003</v>
      </c>
      <c r="P87" s="66">
        <v>498248.83399955952</v>
      </c>
      <c r="Q87" s="65">
        <f t="shared" si="17"/>
        <v>579583.94876686751</v>
      </c>
      <c r="R87" s="66">
        <v>4724.3500000000004</v>
      </c>
      <c r="S87" s="66">
        <v>12643.852500000001</v>
      </c>
      <c r="T87" s="66">
        <v>89668.439498800013</v>
      </c>
      <c r="U87" s="65">
        <f>SUM(R87:T87)</f>
        <v>107036.64199880001</v>
      </c>
    </row>
    <row r="88" spans="2:21">
      <c r="B88" s="9"/>
      <c r="C88" s="10" t="s">
        <v>448</v>
      </c>
      <c r="D88" s="10" t="s">
        <v>362</v>
      </c>
      <c r="E88" s="125">
        <f>E80/Business!$D$99</f>
        <v>34764.945226917058</v>
      </c>
      <c r="F88" s="125">
        <f>F80/Business!$D$99</f>
        <v>48856.703182055287</v>
      </c>
      <c r="G88" s="125">
        <f>G80/Business!$D$99</f>
        <v>542524.56964006252</v>
      </c>
      <c r="H88" s="125">
        <f>H80/Business!$D$100</f>
        <v>66317.755681818177</v>
      </c>
      <c r="I88" s="65">
        <f t="shared" si="15"/>
        <v>692463.97373085306</v>
      </c>
      <c r="J88" s="125">
        <v>33936.961293283137</v>
      </c>
      <c r="K88" s="125">
        <v>42003.228784837986</v>
      </c>
      <c r="L88" s="125">
        <v>304438.41811657907</v>
      </c>
      <c r="M88" s="65">
        <f t="shared" si="16"/>
        <v>380378.60819470021</v>
      </c>
      <c r="N88" s="66">
        <v>19454.47711254</v>
      </c>
      <c r="O88" s="66">
        <v>41126.517565199996</v>
      </c>
      <c r="P88" s="66">
        <v>15606.241833285121</v>
      </c>
      <c r="Q88" s="65">
        <f t="shared" si="17"/>
        <v>76187.236511025112</v>
      </c>
      <c r="R88" s="66">
        <v>115830.86735000001</v>
      </c>
      <c r="S88" s="66">
        <v>26361.07732</v>
      </c>
      <c r="T88" s="66">
        <v>9737.4547585</v>
      </c>
      <c r="U88" s="65">
        <f>SUM(R88:T88)</f>
        <v>151929.39942850004</v>
      </c>
    </row>
    <row r="89" spans="2:21">
      <c r="B89" s="9"/>
      <c r="C89" s="10" t="s">
        <v>449</v>
      </c>
      <c r="D89" s="10" t="s">
        <v>362</v>
      </c>
      <c r="E89" s="125">
        <f>E81/Business!$D$99</f>
        <v>14339.227960354719</v>
      </c>
      <c r="F89" s="125">
        <f>F81/Business!$D$99</f>
        <v>8693.2707355242565</v>
      </c>
      <c r="G89" s="125">
        <f>G81/Business!$D$99</f>
        <v>249116.95357329157</v>
      </c>
      <c r="H89" s="125">
        <f>H81/Business!$D$100</f>
        <v>35472.609498344791</v>
      </c>
      <c r="I89" s="65">
        <f t="shared" si="15"/>
        <v>307622.06176751532</v>
      </c>
      <c r="J89" s="125">
        <v>127853.30038203602</v>
      </c>
      <c r="K89" s="125">
        <v>2459.1840683794708</v>
      </c>
      <c r="L89" s="125">
        <v>59993.863097311376</v>
      </c>
      <c r="M89" s="65">
        <f t="shared" si="16"/>
        <v>190306.34754772688</v>
      </c>
      <c r="N89" s="66">
        <v>196948.91033143201</v>
      </c>
      <c r="O89" s="66">
        <v>16880.3026464</v>
      </c>
      <c r="P89" s="66">
        <v>1858440.5923971094</v>
      </c>
      <c r="Q89" s="65">
        <f t="shared" si="17"/>
        <v>2072269.8053749413</v>
      </c>
      <c r="R89" s="66">
        <v>64061.602169800004</v>
      </c>
      <c r="S89" s="66">
        <v>27801.154184300005</v>
      </c>
      <c r="T89" s="66">
        <v>370054.62669627595</v>
      </c>
      <c r="U89" s="65">
        <f>SUM(R89:T89)</f>
        <v>461917.38305037597</v>
      </c>
    </row>
    <row r="90" spans="2:21">
      <c r="B90" s="9"/>
      <c r="C90" s="10" t="s">
        <v>450</v>
      </c>
      <c r="D90" s="10" t="s">
        <v>362</v>
      </c>
      <c r="E90" s="427">
        <f>E82/Business!$D$99</f>
        <v>2487544.4548774119</v>
      </c>
      <c r="F90" s="125">
        <f>F82/Business!$D$99</f>
        <v>613746.01304121013</v>
      </c>
      <c r="G90" s="125">
        <f>G82/Business!$D$99</f>
        <v>9078776.1533646323</v>
      </c>
      <c r="H90" s="428">
        <v>5884309.75</v>
      </c>
      <c r="I90" s="178">
        <f>SUM(E90:H90)</f>
        <v>18064376.371283256</v>
      </c>
      <c r="J90" s="125">
        <v>1993144.0845233949</v>
      </c>
      <c r="K90" s="125">
        <v>550154.63889027108</v>
      </c>
      <c r="L90" s="125">
        <v>866799.07</v>
      </c>
      <c r="M90" s="65">
        <f t="shared" si="16"/>
        <v>3410097.7934136656</v>
      </c>
      <c r="N90" s="66">
        <v>1032088.29654</v>
      </c>
      <c r="O90" s="66">
        <v>2362279.6734191999</v>
      </c>
      <c r="P90" s="66">
        <v>743444.27</v>
      </c>
      <c r="Q90" s="65">
        <f t="shared" si="17"/>
        <v>4137812.2399591999</v>
      </c>
      <c r="R90" s="66">
        <v>3307835.45</v>
      </c>
      <c r="S90" s="66">
        <v>795885.79</v>
      </c>
      <c r="T90" s="126">
        <v>595886</v>
      </c>
      <c r="U90" s="65">
        <v>4103721</v>
      </c>
    </row>
    <row r="91" spans="2:21">
      <c r="B91" s="71"/>
      <c r="C91" s="14" t="s">
        <v>453</v>
      </c>
      <c r="D91" s="14" t="s">
        <v>362</v>
      </c>
      <c r="E91" s="127">
        <f>SUM(E86:E90)</f>
        <v>2746460.394887845</v>
      </c>
      <c r="F91" s="127">
        <f>SUM(F86:F90)</f>
        <v>731063.48826291075</v>
      </c>
      <c r="G91" s="127">
        <f>SUM(G86:G90)</f>
        <v>10892915.433489827</v>
      </c>
      <c r="H91" s="127">
        <f>SUM(H86:H90)</f>
        <v>6053444.538006112</v>
      </c>
      <c r="I91" s="181">
        <f t="shared" si="15"/>
        <v>20423883.854646698</v>
      </c>
      <c r="J91" s="127">
        <f>SUM(J86:J90)</f>
        <v>2270801.7780431574</v>
      </c>
      <c r="K91" s="127">
        <f>SUM(K86:K90)</f>
        <v>651695.55765647721</v>
      </c>
      <c r="L91" s="127">
        <f>SUM(L86:L90)</f>
        <v>2295772.8626943217</v>
      </c>
      <c r="M91" s="181">
        <f t="shared" si="16"/>
        <v>5218270.1983939558</v>
      </c>
      <c r="N91" s="88">
        <f>SUM(N86:N90)</f>
        <v>1403024.1358491601</v>
      </c>
      <c r="O91" s="88">
        <f>SUM(O86:O90)</f>
        <v>2531729.386598676</v>
      </c>
      <c r="P91" s="88">
        <f>SUM(P86:P90)</f>
        <v>3133876.2198602376</v>
      </c>
      <c r="Q91" s="89">
        <f t="shared" si="17"/>
        <v>7068629.7423080737</v>
      </c>
      <c r="R91" s="88">
        <f>SUM(R86:R90)</f>
        <v>3586199.0881998003</v>
      </c>
      <c r="S91" s="88">
        <f>SUM(S86:S90)</f>
        <v>891968.02446430002</v>
      </c>
      <c r="T91" s="88">
        <f>SUM(T86:T90)</f>
        <v>1309045.66377316</v>
      </c>
      <c r="U91" s="89">
        <f>SUM(R91:T91)</f>
        <v>5787212.7764372602</v>
      </c>
    </row>
    <row r="92" spans="2:21" ht="17" thickBot="1">
      <c r="B92" s="285"/>
      <c r="C92" s="286"/>
      <c r="D92" s="286"/>
      <c r="E92" s="286"/>
      <c r="F92" s="286"/>
      <c r="G92" s="296"/>
      <c r="H92" s="286"/>
      <c r="I92" s="294"/>
      <c r="J92" s="286"/>
      <c r="K92" s="286"/>
      <c r="L92" s="286"/>
      <c r="M92" s="286"/>
      <c r="N92" s="285"/>
      <c r="O92" s="285"/>
      <c r="P92" s="285"/>
      <c r="Q92" s="285"/>
      <c r="R92" s="285"/>
      <c r="S92" s="285"/>
      <c r="T92" s="285"/>
      <c r="U92" s="285"/>
    </row>
    <row r="93" spans="2:21">
      <c r="B93" s="7" t="s">
        <v>454</v>
      </c>
      <c r="C93" s="8"/>
      <c r="D93" s="10"/>
      <c r="E93" s="8"/>
      <c r="F93" s="8"/>
      <c r="G93" s="8"/>
      <c r="H93" s="8"/>
      <c r="I93" s="4"/>
      <c r="J93" s="8"/>
      <c r="K93" s="8"/>
      <c r="L93" s="8"/>
      <c r="M93" s="4"/>
      <c r="N93" s="5"/>
      <c r="O93" s="5"/>
      <c r="P93" s="4"/>
      <c r="Q93" s="4"/>
      <c r="R93" s="5"/>
      <c r="S93" s="5"/>
      <c r="T93" s="4"/>
      <c r="U93" s="4"/>
    </row>
    <row r="94" spans="2:21">
      <c r="B94" s="9"/>
      <c r="C94" s="10" t="s">
        <v>455</v>
      </c>
      <c r="D94" s="10" t="s">
        <v>456</v>
      </c>
      <c r="E94" s="82">
        <v>4</v>
      </c>
      <c r="F94" s="82">
        <v>5</v>
      </c>
      <c r="G94" s="82">
        <v>1</v>
      </c>
      <c r="H94" s="82">
        <v>11</v>
      </c>
      <c r="I94" s="76">
        <f>SUM(E94:H94)</f>
        <v>21</v>
      </c>
      <c r="J94" s="82">
        <v>2</v>
      </c>
      <c r="K94" s="82">
        <v>0</v>
      </c>
      <c r="L94" s="82">
        <v>5</v>
      </c>
      <c r="M94" s="76">
        <f>SUM(J94:L94)</f>
        <v>7</v>
      </c>
      <c r="N94" s="55">
        <v>9</v>
      </c>
      <c r="O94" s="55">
        <v>3</v>
      </c>
      <c r="P94" s="55">
        <v>4</v>
      </c>
      <c r="Q94" s="76">
        <f>SUM(N94:P94)</f>
        <v>16</v>
      </c>
      <c r="R94" s="55"/>
      <c r="S94" s="55"/>
      <c r="T94" s="55"/>
      <c r="U94" s="755" t="s">
        <v>263</v>
      </c>
    </row>
    <row r="95" spans="2:21">
      <c r="B95" s="10"/>
      <c r="C95" s="9" t="s">
        <v>457</v>
      </c>
      <c r="D95" s="10" t="s">
        <v>458</v>
      </c>
      <c r="E95" s="128">
        <v>0.25</v>
      </c>
      <c r="F95" s="128">
        <v>0.57299999999999995</v>
      </c>
      <c r="G95" s="128">
        <v>0.33</v>
      </c>
      <c r="H95" s="128">
        <v>3.05</v>
      </c>
      <c r="I95" s="129">
        <f>SUM(E95:H95)</f>
        <v>4.2029999999999994</v>
      </c>
      <c r="J95" s="128">
        <v>0.12</v>
      </c>
      <c r="K95" s="128">
        <v>0</v>
      </c>
      <c r="L95" s="128">
        <v>0.2</v>
      </c>
      <c r="M95" s="129">
        <f>SUM(J95:L95)</f>
        <v>0.32</v>
      </c>
      <c r="N95" s="130">
        <v>0</v>
      </c>
      <c r="O95" s="130">
        <v>0</v>
      </c>
      <c r="P95" s="130">
        <v>0</v>
      </c>
      <c r="Q95" s="129">
        <f>SUM(N95:P95)</f>
        <v>0</v>
      </c>
      <c r="R95" s="130">
        <v>0</v>
      </c>
      <c r="S95" s="130">
        <v>0</v>
      </c>
      <c r="T95" s="130">
        <v>0</v>
      </c>
      <c r="U95" s="756"/>
    </row>
    <row r="96" spans="2:21">
      <c r="B96" s="10"/>
      <c r="C96" s="9" t="s">
        <v>459</v>
      </c>
      <c r="D96" s="10" t="s">
        <v>456</v>
      </c>
      <c r="E96" s="82">
        <v>0</v>
      </c>
      <c r="F96" s="82">
        <v>0</v>
      </c>
      <c r="G96" s="418">
        <v>0</v>
      </c>
      <c r="H96" s="82">
        <v>0</v>
      </c>
      <c r="I96" s="76">
        <f>SUM(E96:H96)</f>
        <v>0</v>
      </c>
      <c r="J96" s="82">
        <v>0</v>
      </c>
      <c r="K96" s="82">
        <v>0</v>
      </c>
      <c r="L96" s="82">
        <v>0</v>
      </c>
      <c r="M96" s="76">
        <f>SUM(J96:L96)</f>
        <v>0</v>
      </c>
      <c r="N96" s="55">
        <v>0</v>
      </c>
      <c r="O96" s="55">
        <v>0</v>
      </c>
      <c r="P96" s="55">
        <v>0</v>
      </c>
      <c r="Q96" s="76">
        <f>SUM(N96:P96)</f>
        <v>0</v>
      </c>
      <c r="R96" s="55">
        <v>0</v>
      </c>
      <c r="S96" s="55">
        <v>0</v>
      </c>
      <c r="T96" s="55">
        <v>0</v>
      </c>
      <c r="U96" s="756"/>
    </row>
    <row r="97" spans="2:21">
      <c r="B97" s="10"/>
      <c r="C97" s="9" t="s">
        <v>460</v>
      </c>
      <c r="D97" s="10" t="s">
        <v>458</v>
      </c>
      <c r="E97" s="82">
        <v>0</v>
      </c>
      <c r="F97" s="82">
        <v>0</v>
      </c>
      <c r="G97" s="418">
        <v>0</v>
      </c>
      <c r="H97" s="82">
        <v>0</v>
      </c>
      <c r="I97" s="76">
        <f>SUM(E97:H97)</f>
        <v>0</v>
      </c>
      <c r="J97" s="82">
        <v>0</v>
      </c>
      <c r="K97" s="82">
        <v>0</v>
      </c>
      <c r="L97" s="82">
        <v>0</v>
      </c>
      <c r="M97" s="76">
        <f>SUM(J97:L97)</f>
        <v>0</v>
      </c>
      <c r="N97" s="55">
        <v>0</v>
      </c>
      <c r="O97" s="55">
        <v>0</v>
      </c>
      <c r="P97" s="55">
        <v>0</v>
      </c>
      <c r="Q97" s="76">
        <f>SUM(N97:P97)</f>
        <v>0</v>
      </c>
      <c r="R97" s="55">
        <v>0</v>
      </c>
      <c r="S97" s="55">
        <v>0</v>
      </c>
      <c r="T97" s="55">
        <v>0</v>
      </c>
      <c r="U97" s="757"/>
    </row>
    <row r="98" spans="2:21" ht="17" thickBot="1">
      <c r="B98" s="285"/>
      <c r="C98" s="614"/>
      <c r="D98" s="103"/>
      <c r="E98" s="286"/>
      <c r="F98" s="302"/>
      <c r="G98" s="294"/>
      <c r="H98" s="302"/>
      <c r="I98" s="288"/>
      <c r="J98" s="362"/>
      <c r="K98" s="362"/>
      <c r="L98" s="302"/>
      <c r="M98" s="288"/>
      <c r="N98" s="303"/>
      <c r="O98" s="304"/>
      <c r="P98" s="285"/>
      <c r="Q98" s="285"/>
      <c r="R98" s="285"/>
      <c r="S98" s="285"/>
      <c r="T98" s="285"/>
      <c r="U98" s="285"/>
    </row>
  </sheetData>
  <sheetProtection algorithmName="SHA-512" hashValue="ZRSu8YujsqgHBm4MFAESI8pAaXuJWb6+g5Vcap7oBkJiM4zjvjugyzwr/abMKbk1XVL6qxXzDS5eCZUHPtWb1Q==" saltValue="PsCo/B6mgMpImg7546pWUw==" spinCount="100000" sheet="1" objects="1" scenarios="1"/>
  <mergeCells count="10">
    <mergeCell ref="U94:U97"/>
    <mergeCell ref="B2:C2"/>
    <mergeCell ref="B4:C4"/>
    <mergeCell ref="L10:L11"/>
    <mergeCell ref="B13:U13"/>
    <mergeCell ref="B40:M40"/>
    <mergeCell ref="B41:M41"/>
    <mergeCell ref="L24:L26"/>
    <mergeCell ref="B54:C54"/>
    <mergeCell ref="L73:L74"/>
  </mergeCells>
  <conditionalFormatting sqref="A2:A13 A15:A27 A29:A41 A43:A54 A56:A67 A69:A83 A85:A97">
    <cfRule type="cellIs" dxfId="2" priority="1" operator="equal">
      <formula>"✗"</formula>
    </cfRule>
  </conditionalFormatting>
  <pageMargins left="0.7" right="0.7" top="0.75" bottom="0.75" header="0" footer="0"/>
  <pageSetup orientation="portrait"/>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K198"/>
  <sheetViews>
    <sheetView showGridLines="0" workbookViewId="0">
      <pane xSplit="6" ySplit="4" topLeftCell="G5" activePane="bottomRight" state="frozen"/>
      <selection pane="topRight" activeCell="G1" sqref="G1"/>
      <selection pane="bottomLeft" activeCell="A5" sqref="A5"/>
      <selection pane="bottomRight" activeCell="G5" sqref="G5"/>
    </sheetView>
  </sheetViews>
  <sheetFormatPr baseColWidth="10" defaultColWidth="11.1640625" defaultRowHeight="15" customHeight="1"/>
  <cols>
    <col min="1" max="1" width="10.83203125" customWidth="1"/>
    <col min="2" max="4" width="6.6640625" hidden="1" customWidth="1"/>
    <col min="5" max="5" width="10.83203125" customWidth="1"/>
    <col min="6" max="6" width="49.5" customWidth="1"/>
    <col min="7" max="9" width="12.6640625" customWidth="1"/>
    <col min="10" max="10" width="14.83203125" customWidth="1"/>
    <col min="11" max="11" width="10.83203125" customWidth="1"/>
    <col min="12" max="12" width="17.1640625" hidden="1" customWidth="1"/>
    <col min="13" max="18" width="10.83203125" customWidth="1"/>
    <col min="19" max="19" width="12.1640625" customWidth="1"/>
    <col min="20" max="25" width="10.83203125" customWidth="1"/>
    <col min="26" max="26" width="12.1640625" customWidth="1"/>
    <col min="27" max="36" width="10.83203125" customWidth="1"/>
    <col min="37" max="37" width="36" customWidth="1"/>
    <col min="38" max="74" width="10.83203125" customWidth="1"/>
  </cols>
  <sheetData>
    <row r="2" spans="2:36" ht="16">
      <c r="B2" s="6"/>
      <c r="C2" s="6"/>
      <c r="D2" s="6"/>
      <c r="E2" s="643" t="s">
        <v>397</v>
      </c>
      <c r="F2" s="644"/>
      <c r="G2" s="282"/>
      <c r="H2" s="282"/>
      <c r="I2" s="282"/>
      <c r="J2" s="282"/>
      <c r="K2" s="282"/>
      <c r="L2" s="282"/>
      <c r="M2" s="282"/>
      <c r="N2" s="282"/>
      <c r="O2" s="6"/>
      <c r="P2" s="6"/>
      <c r="Q2" s="6"/>
      <c r="R2" s="6"/>
      <c r="S2" s="6"/>
      <c r="T2" s="6"/>
      <c r="U2" s="83"/>
      <c r="V2" s="6"/>
      <c r="W2" s="6"/>
      <c r="X2" s="6"/>
      <c r="Y2" s="6"/>
      <c r="Z2" s="6"/>
      <c r="AA2" s="6"/>
      <c r="AB2" s="83"/>
      <c r="AC2" s="6"/>
      <c r="AD2" s="6"/>
      <c r="AE2" s="6"/>
      <c r="AF2" s="6"/>
      <c r="AG2" s="6"/>
      <c r="AH2" s="6"/>
      <c r="AI2" s="6"/>
      <c r="AJ2" s="83"/>
    </row>
    <row r="3" spans="2:36" ht="15.75" customHeight="1">
      <c r="B3" s="131"/>
      <c r="C3" s="131"/>
      <c r="D3" s="131"/>
      <c r="E3" s="4"/>
      <c r="F3" s="4"/>
      <c r="G3" s="4"/>
      <c r="H3" s="4"/>
      <c r="I3" s="4"/>
      <c r="J3" s="4"/>
      <c r="K3" s="4"/>
      <c r="L3" s="4"/>
      <c r="M3" s="4"/>
      <c r="N3" s="4"/>
      <c r="O3" s="4"/>
      <c r="P3" s="4"/>
      <c r="Q3" s="4"/>
      <c r="R3" s="4"/>
      <c r="S3" s="4"/>
      <c r="T3" s="4"/>
      <c r="U3" s="5"/>
      <c r="V3" s="4"/>
      <c r="W3" s="4"/>
      <c r="X3" s="4"/>
      <c r="Y3" s="4"/>
      <c r="Z3" s="4"/>
      <c r="AA3" s="4"/>
      <c r="AB3" s="5"/>
      <c r="AC3" s="4"/>
      <c r="AD3" s="4"/>
      <c r="AE3" s="4"/>
      <c r="AF3" s="4"/>
      <c r="AG3" s="4"/>
      <c r="AH3" s="4"/>
      <c r="AI3" s="4"/>
      <c r="AJ3" s="5"/>
    </row>
    <row r="4" spans="2:36" ht="51" customHeight="1">
      <c r="B4" s="307" t="s">
        <v>461</v>
      </c>
      <c r="C4" s="307" t="s">
        <v>462</v>
      </c>
      <c r="D4" s="308" t="s">
        <v>463</v>
      </c>
      <c r="E4" s="645" t="s">
        <v>5</v>
      </c>
      <c r="F4" s="644"/>
      <c r="G4" s="287" t="s">
        <v>19</v>
      </c>
      <c r="H4" s="287" t="s">
        <v>20</v>
      </c>
      <c r="I4" s="287" t="s">
        <v>21</v>
      </c>
      <c r="J4" s="287" t="s">
        <v>464</v>
      </c>
      <c r="K4" s="284" t="s">
        <v>465</v>
      </c>
      <c r="L4" s="284" t="s">
        <v>466</v>
      </c>
      <c r="M4" s="284" t="s">
        <v>467</v>
      </c>
      <c r="N4" s="284" t="s">
        <v>7</v>
      </c>
      <c r="O4" s="287" t="s">
        <v>19</v>
      </c>
      <c r="P4" s="287" t="s">
        <v>20</v>
      </c>
      <c r="Q4" s="287" t="s">
        <v>21</v>
      </c>
      <c r="R4" s="284" t="s">
        <v>67</v>
      </c>
      <c r="S4" s="284" t="s">
        <v>24</v>
      </c>
      <c r="T4" s="284" t="s">
        <v>251</v>
      </c>
      <c r="U4" s="284" t="s">
        <v>8</v>
      </c>
      <c r="V4" s="287" t="s">
        <v>19</v>
      </c>
      <c r="W4" s="287" t="s">
        <v>20</v>
      </c>
      <c r="X4" s="287" t="s">
        <v>21</v>
      </c>
      <c r="Y4" s="284" t="s">
        <v>67</v>
      </c>
      <c r="Z4" s="284" t="s">
        <v>24</v>
      </c>
      <c r="AA4" s="284" t="s">
        <v>251</v>
      </c>
      <c r="AB4" s="284" t="s">
        <v>68</v>
      </c>
      <c r="AC4" s="284" t="s">
        <v>69</v>
      </c>
      <c r="AD4" s="284" t="s">
        <v>70</v>
      </c>
      <c r="AE4" s="284" t="s">
        <v>71</v>
      </c>
      <c r="AF4" s="284" t="s">
        <v>72</v>
      </c>
      <c r="AG4" s="284" t="s">
        <v>73</v>
      </c>
      <c r="AH4" s="284" t="s">
        <v>74</v>
      </c>
      <c r="AI4" s="284" t="s">
        <v>75</v>
      </c>
      <c r="AJ4" s="289" t="s">
        <v>76</v>
      </c>
    </row>
    <row r="5" spans="2:36" ht="16">
      <c r="B5" s="131" t="s">
        <v>468</v>
      </c>
      <c r="C5" s="131"/>
      <c r="D5" s="131"/>
      <c r="E5" s="7" t="s">
        <v>77</v>
      </c>
      <c r="F5" s="8"/>
      <c r="G5" s="8"/>
      <c r="H5" s="8"/>
      <c r="I5" s="8"/>
      <c r="J5" s="8"/>
      <c r="K5" s="8"/>
      <c r="L5" s="8"/>
      <c r="M5" s="8"/>
      <c r="N5" s="8"/>
      <c r="O5" s="4"/>
      <c r="P5" s="4"/>
      <c r="Q5" s="4"/>
      <c r="R5" s="4"/>
      <c r="S5" s="4"/>
      <c r="T5" s="4"/>
      <c r="U5" s="4"/>
      <c r="V5" s="4"/>
      <c r="W5" s="4"/>
      <c r="X5" s="4"/>
      <c r="Y5" s="4"/>
      <c r="Z5" s="4"/>
      <c r="AA5" s="4"/>
      <c r="AB5" s="4"/>
      <c r="AC5" s="4"/>
      <c r="AD5" s="4"/>
      <c r="AE5" s="4"/>
      <c r="AF5" s="4"/>
      <c r="AG5" s="4"/>
      <c r="AH5" s="4"/>
      <c r="AI5" s="4"/>
      <c r="AJ5" s="4"/>
    </row>
    <row r="6" spans="2:36" ht="16">
      <c r="B6" s="132" t="s">
        <v>469</v>
      </c>
      <c r="C6" s="132"/>
      <c r="D6" s="132"/>
      <c r="E6" s="9"/>
      <c r="F6" s="10" t="s">
        <v>78</v>
      </c>
      <c r="G6" s="133">
        <v>465</v>
      </c>
      <c r="H6" s="133">
        <v>461</v>
      </c>
      <c r="I6" s="133">
        <v>245</v>
      </c>
      <c r="J6" s="133">
        <v>67</v>
      </c>
      <c r="K6" s="133">
        <v>42</v>
      </c>
      <c r="L6" s="10"/>
      <c r="M6" s="133">
        <v>8</v>
      </c>
      <c r="N6" s="11">
        <f>SUM(G6:M6)</f>
        <v>1288</v>
      </c>
      <c r="O6" s="12">
        <v>469</v>
      </c>
      <c r="P6" s="12">
        <v>466</v>
      </c>
      <c r="Q6" s="12">
        <v>105</v>
      </c>
      <c r="R6" s="12">
        <v>51</v>
      </c>
      <c r="S6" s="12">
        <v>67</v>
      </c>
      <c r="T6" s="12">
        <v>9</v>
      </c>
      <c r="U6" s="11">
        <f>SUM(O6:T6)</f>
        <v>1167</v>
      </c>
      <c r="V6" s="12">
        <v>451</v>
      </c>
      <c r="W6" s="12">
        <v>466</v>
      </c>
      <c r="X6" s="12">
        <v>52</v>
      </c>
      <c r="Y6" s="12">
        <v>50</v>
      </c>
      <c r="Z6" s="12">
        <f>37+22</f>
        <v>59</v>
      </c>
      <c r="AA6" s="12">
        <f>11+7</f>
        <v>18</v>
      </c>
      <c r="AB6" s="11">
        <f>SUM(V6:AA6)</f>
        <v>1096</v>
      </c>
      <c r="AC6" s="12">
        <v>469</v>
      </c>
      <c r="AD6" s="12">
        <v>456</v>
      </c>
      <c r="AE6" s="12">
        <v>41</v>
      </c>
      <c r="AF6" s="12">
        <v>2</v>
      </c>
      <c r="AG6" s="12">
        <v>38</v>
      </c>
      <c r="AH6" s="12">
        <v>44</v>
      </c>
      <c r="AI6" s="12">
        <v>25</v>
      </c>
      <c r="AJ6" s="11">
        <f>SUM(AC6:AI6)</f>
        <v>1075</v>
      </c>
    </row>
    <row r="7" spans="2:36" ht="16">
      <c r="B7" s="131"/>
      <c r="C7" s="131"/>
      <c r="D7" s="131"/>
      <c r="E7" s="9"/>
      <c r="F7" s="10" t="s">
        <v>79</v>
      </c>
      <c r="G7" s="133">
        <v>91</v>
      </c>
      <c r="H7" s="133">
        <v>40</v>
      </c>
      <c r="I7" s="133">
        <v>46</v>
      </c>
      <c r="J7" s="133">
        <v>16</v>
      </c>
      <c r="K7" s="133">
        <v>34</v>
      </c>
      <c r="L7" s="10"/>
      <c r="M7" s="133">
        <v>11</v>
      </c>
      <c r="N7" s="11">
        <f>SUM(G7:M7)</f>
        <v>238</v>
      </c>
      <c r="O7" s="12">
        <v>93</v>
      </c>
      <c r="P7" s="12">
        <v>38</v>
      </c>
      <c r="Q7" s="12">
        <v>21</v>
      </c>
      <c r="R7" s="12">
        <v>32</v>
      </c>
      <c r="S7" s="12">
        <v>14</v>
      </c>
      <c r="T7" s="12">
        <v>10</v>
      </c>
      <c r="U7" s="11">
        <f>SUM(O7:T7)</f>
        <v>208</v>
      </c>
      <c r="V7" s="12">
        <v>86</v>
      </c>
      <c r="W7" s="12">
        <v>37</v>
      </c>
      <c r="X7" s="12">
        <v>17</v>
      </c>
      <c r="Y7" s="12">
        <v>32</v>
      </c>
      <c r="Z7" s="12">
        <f>9+5</f>
        <v>14</v>
      </c>
      <c r="AA7" s="12">
        <v>7</v>
      </c>
      <c r="AB7" s="11">
        <f>SUM(V7:AA7)</f>
        <v>193</v>
      </c>
      <c r="AC7" s="12">
        <v>79</v>
      </c>
      <c r="AD7" s="12">
        <v>36</v>
      </c>
      <c r="AE7" s="12">
        <v>20</v>
      </c>
      <c r="AF7" s="12">
        <v>0</v>
      </c>
      <c r="AG7" s="12">
        <v>30</v>
      </c>
      <c r="AH7" s="12">
        <v>11</v>
      </c>
      <c r="AI7" s="12">
        <v>8</v>
      </c>
      <c r="AJ7" s="11">
        <f>SUM(AC7:AI7)</f>
        <v>184</v>
      </c>
    </row>
    <row r="8" spans="2:36" ht="16">
      <c r="B8" s="131" t="s">
        <v>470</v>
      </c>
      <c r="C8" s="131"/>
      <c r="D8" s="131"/>
      <c r="E8" s="13"/>
      <c r="F8" s="14" t="s">
        <v>60</v>
      </c>
      <c r="G8" s="134">
        <f>+G6+G7</f>
        <v>556</v>
      </c>
      <c r="H8" s="134">
        <f>+H6+H7</f>
        <v>501</v>
      </c>
      <c r="I8" s="134">
        <f>+I6+I7</f>
        <v>291</v>
      </c>
      <c r="J8" s="134">
        <f>+J6+J7</f>
        <v>83</v>
      </c>
      <c r="K8" s="134">
        <f>+K6+K7</f>
        <v>76</v>
      </c>
      <c r="L8" s="14"/>
      <c r="M8" s="133">
        <f>+M6+M7</f>
        <v>19</v>
      </c>
      <c r="N8" s="16">
        <f t="shared" ref="N8:AJ8" si="0">SUM(N6:N7)</f>
        <v>1526</v>
      </c>
      <c r="O8" s="17">
        <f t="shared" si="0"/>
        <v>562</v>
      </c>
      <c r="P8" s="17">
        <f t="shared" si="0"/>
        <v>504</v>
      </c>
      <c r="Q8" s="17">
        <f t="shared" si="0"/>
        <v>126</v>
      </c>
      <c r="R8" s="17">
        <f t="shared" si="0"/>
        <v>83</v>
      </c>
      <c r="S8" s="17">
        <f t="shared" si="0"/>
        <v>81</v>
      </c>
      <c r="T8" s="17">
        <f t="shared" si="0"/>
        <v>19</v>
      </c>
      <c r="U8" s="18">
        <f t="shared" si="0"/>
        <v>1375</v>
      </c>
      <c r="V8" s="17">
        <f t="shared" si="0"/>
        <v>537</v>
      </c>
      <c r="W8" s="17">
        <f t="shared" si="0"/>
        <v>503</v>
      </c>
      <c r="X8" s="17">
        <f t="shared" si="0"/>
        <v>69</v>
      </c>
      <c r="Y8" s="17">
        <f t="shared" si="0"/>
        <v>82</v>
      </c>
      <c r="Z8" s="17">
        <f t="shared" si="0"/>
        <v>73</v>
      </c>
      <c r="AA8" s="17">
        <f t="shared" si="0"/>
        <v>25</v>
      </c>
      <c r="AB8" s="18">
        <f t="shared" si="0"/>
        <v>1289</v>
      </c>
      <c r="AC8" s="17">
        <f t="shared" si="0"/>
        <v>548</v>
      </c>
      <c r="AD8" s="17">
        <f t="shared" si="0"/>
        <v>492</v>
      </c>
      <c r="AE8" s="17">
        <f t="shared" si="0"/>
        <v>61</v>
      </c>
      <c r="AF8" s="17">
        <f t="shared" si="0"/>
        <v>2</v>
      </c>
      <c r="AG8" s="17">
        <f t="shared" si="0"/>
        <v>68</v>
      </c>
      <c r="AH8" s="17">
        <f t="shared" si="0"/>
        <v>55</v>
      </c>
      <c r="AI8" s="17">
        <f t="shared" si="0"/>
        <v>33</v>
      </c>
      <c r="AJ8" s="18">
        <f t="shared" si="0"/>
        <v>1259</v>
      </c>
    </row>
    <row r="9" spans="2:36" ht="16">
      <c r="B9" s="131"/>
      <c r="C9" s="131"/>
      <c r="D9" s="131"/>
      <c r="E9" s="9"/>
      <c r="F9" s="10" t="s">
        <v>80</v>
      </c>
      <c r="G9" s="20">
        <f>G7/G8</f>
        <v>0.16366906474820145</v>
      </c>
      <c r="H9" s="20">
        <f>H7/H8</f>
        <v>7.9840319361277445E-2</v>
      </c>
      <c r="I9" s="20">
        <f>I7/I8</f>
        <v>0.15807560137457044</v>
      </c>
      <c r="J9" s="20">
        <f>J7/J8</f>
        <v>0.19277108433734941</v>
      </c>
      <c r="K9" s="20">
        <f>K7/K8</f>
        <v>0.44736842105263158</v>
      </c>
      <c r="L9" s="20"/>
      <c r="M9" s="20">
        <f t="shared" ref="M9:AJ9" si="1">M7/M8</f>
        <v>0.57894736842105265</v>
      </c>
      <c r="N9" s="21">
        <f t="shared" si="1"/>
        <v>0.15596330275229359</v>
      </c>
      <c r="O9" s="22">
        <f t="shared" si="1"/>
        <v>0.16548042704626334</v>
      </c>
      <c r="P9" s="22">
        <f t="shared" si="1"/>
        <v>7.5396825396825393E-2</v>
      </c>
      <c r="Q9" s="22">
        <f t="shared" si="1"/>
        <v>0.16666666666666666</v>
      </c>
      <c r="R9" s="22">
        <f t="shared" si="1"/>
        <v>0.38554216867469882</v>
      </c>
      <c r="S9" s="22">
        <f t="shared" si="1"/>
        <v>0.1728395061728395</v>
      </c>
      <c r="T9" s="22">
        <f t="shared" si="1"/>
        <v>0.52631578947368418</v>
      </c>
      <c r="U9" s="21">
        <f t="shared" si="1"/>
        <v>0.15127272727272728</v>
      </c>
      <c r="V9" s="22">
        <f t="shared" si="1"/>
        <v>0.16014897579143389</v>
      </c>
      <c r="W9" s="22">
        <f t="shared" si="1"/>
        <v>7.3558648111332003E-2</v>
      </c>
      <c r="X9" s="22">
        <f t="shared" si="1"/>
        <v>0.24637681159420291</v>
      </c>
      <c r="Y9" s="22">
        <f t="shared" si="1"/>
        <v>0.3902439024390244</v>
      </c>
      <c r="Z9" s="22">
        <f t="shared" si="1"/>
        <v>0.19178082191780821</v>
      </c>
      <c r="AA9" s="22">
        <f t="shared" si="1"/>
        <v>0.28000000000000003</v>
      </c>
      <c r="AB9" s="21">
        <f t="shared" si="1"/>
        <v>0.14972847168347556</v>
      </c>
      <c r="AC9" s="22">
        <f t="shared" si="1"/>
        <v>0.14416058394160583</v>
      </c>
      <c r="AD9" s="22">
        <f t="shared" si="1"/>
        <v>7.3170731707317069E-2</v>
      </c>
      <c r="AE9" s="22">
        <f t="shared" si="1"/>
        <v>0.32786885245901637</v>
      </c>
      <c r="AF9" s="22">
        <f t="shared" si="1"/>
        <v>0</v>
      </c>
      <c r="AG9" s="22">
        <f t="shared" si="1"/>
        <v>0.44117647058823528</v>
      </c>
      <c r="AH9" s="22">
        <f t="shared" si="1"/>
        <v>0.2</v>
      </c>
      <c r="AI9" s="22">
        <f t="shared" si="1"/>
        <v>0.24242424242424243</v>
      </c>
      <c r="AJ9" s="26">
        <f t="shared" si="1"/>
        <v>0.14614773629864972</v>
      </c>
    </row>
    <row r="10" spans="2:36" ht="16">
      <c r="B10" s="131" t="s">
        <v>471</v>
      </c>
      <c r="C10" s="131"/>
      <c r="D10" s="131"/>
      <c r="E10" s="23" t="s">
        <v>81</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row>
    <row r="11" spans="2:36" ht="16">
      <c r="B11" s="131" t="s">
        <v>471</v>
      </c>
      <c r="C11" s="131"/>
      <c r="D11" s="131"/>
      <c r="E11" s="285"/>
      <c r="F11" s="286"/>
      <c r="G11" s="286"/>
      <c r="H11" s="286"/>
      <c r="I11" s="286"/>
      <c r="J11" s="286"/>
      <c r="K11" s="286"/>
      <c r="L11" s="286"/>
      <c r="M11" s="286"/>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row>
    <row r="12" spans="2:36" ht="16">
      <c r="B12" s="131" t="s">
        <v>471</v>
      </c>
      <c r="C12" s="131"/>
      <c r="D12" s="309" t="s">
        <v>472</v>
      </c>
      <c r="E12" s="7" t="s">
        <v>82</v>
      </c>
      <c r="F12" s="8"/>
      <c r="G12" s="8"/>
      <c r="H12" s="8"/>
      <c r="I12" s="8"/>
      <c r="J12" s="8"/>
      <c r="K12" s="8"/>
      <c r="L12" s="8"/>
      <c r="M12" s="8"/>
      <c r="N12" s="4"/>
      <c r="O12" s="4"/>
      <c r="P12" s="4"/>
      <c r="Q12" s="4"/>
      <c r="R12" s="4"/>
      <c r="S12" s="4"/>
      <c r="T12" s="4"/>
      <c r="U12" s="4"/>
      <c r="V12" s="4"/>
      <c r="W12" s="4"/>
      <c r="X12" s="4"/>
      <c r="Y12" s="4"/>
      <c r="Z12" s="4"/>
      <c r="AA12" s="4"/>
      <c r="AB12" s="4"/>
      <c r="AC12" s="4"/>
      <c r="AD12" s="4"/>
      <c r="AE12" s="4"/>
      <c r="AF12" s="4"/>
      <c r="AG12" s="4"/>
      <c r="AH12" s="4"/>
      <c r="AI12" s="4"/>
      <c r="AJ12" s="4"/>
    </row>
    <row r="13" spans="2:36" ht="16">
      <c r="B13" s="131" t="s">
        <v>471</v>
      </c>
      <c r="C13" s="132"/>
      <c r="D13" s="309" t="s">
        <v>472</v>
      </c>
      <c r="E13" s="9"/>
      <c r="F13" s="10" t="s">
        <v>83</v>
      </c>
      <c r="G13" s="133">
        <v>205</v>
      </c>
      <c r="H13" s="133">
        <v>205</v>
      </c>
      <c r="I13" s="133">
        <v>822</v>
      </c>
      <c r="J13" s="133">
        <v>0</v>
      </c>
      <c r="K13" s="133">
        <v>0</v>
      </c>
      <c r="L13" s="10"/>
      <c r="M13" s="133">
        <v>0</v>
      </c>
      <c r="N13" s="11">
        <f>SUM(G13:M13)</f>
        <v>1232</v>
      </c>
      <c r="O13" s="12">
        <v>335</v>
      </c>
      <c r="P13" s="12">
        <v>187</v>
      </c>
      <c r="Q13" s="12">
        <v>348</v>
      </c>
      <c r="R13" s="12">
        <v>4</v>
      </c>
      <c r="S13" s="12">
        <v>0</v>
      </c>
      <c r="T13" s="12">
        <v>0</v>
      </c>
      <c r="U13" s="11">
        <f>SUM(O13:T13)</f>
        <v>874</v>
      </c>
      <c r="V13" s="12">
        <v>259</v>
      </c>
      <c r="W13" s="12">
        <v>135</v>
      </c>
      <c r="X13" s="12">
        <v>131</v>
      </c>
      <c r="Y13" s="12">
        <v>0</v>
      </c>
      <c r="Z13" s="12">
        <v>0</v>
      </c>
      <c r="AA13" s="12">
        <v>0</v>
      </c>
      <c r="AB13" s="11">
        <f>SUM(V13:AA13)</f>
        <v>525</v>
      </c>
      <c r="AC13" s="12">
        <v>297</v>
      </c>
      <c r="AD13" s="12">
        <v>154</v>
      </c>
      <c r="AE13" s="12">
        <v>22</v>
      </c>
      <c r="AF13" s="12">
        <v>0</v>
      </c>
      <c r="AG13" s="12">
        <v>0</v>
      </c>
      <c r="AH13" s="12">
        <v>0</v>
      </c>
      <c r="AI13" s="12">
        <v>0</v>
      </c>
      <c r="AJ13" s="11">
        <v>468</v>
      </c>
    </row>
    <row r="14" spans="2:36" ht="16">
      <c r="B14" s="131" t="s">
        <v>471</v>
      </c>
      <c r="C14" s="131"/>
      <c r="D14" s="309" t="s">
        <v>472</v>
      </c>
      <c r="E14" s="9"/>
      <c r="F14" s="10" t="s">
        <v>84</v>
      </c>
      <c r="G14" s="133">
        <v>12</v>
      </c>
      <c r="H14" s="133">
        <v>12</v>
      </c>
      <c r="I14" s="133">
        <v>57</v>
      </c>
      <c r="J14" s="133">
        <v>0</v>
      </c>
      <c r="K14" s="133">
        <v>7</v>
      </c>
      <c r="L14" s="10"/>
      <c r="M14" s="133">
        <v>0</v>
      </c>
      <c r="N14" s="11">
        <f>SUM(G14:M14)</f>
        <v>88</v>
      </c>
      <c r="O14" s="12">
        <v>21</v>
      </c>
      <c r="P14" s="12">
        <v>10</v>
      </c>
      <c r="Q14" s="12">
        <v>43</v>
      </c>
      <c r="R14" s="12">
        <v>7</v>
      </c>
      <c r="S14" s="12">
        <v>0</v>
      </c>
      <c r="T14" s="12">
        <v>0</v>
      </c>
      <c r="U14" s="11">
        <f>SUM(O14:T14)</f>
        <v>81</v>
      </c>
      <c r="V14" s="12">
        <v>22</v>
      </c>
      <c r="W14" s="12">
        <v>4</v>
      </c>
      <c r="X14" s="12">
        <v>15</v>
      </c>
      <c r="Y14" s="12">
        <v>0</v>
      </c>
      <c r="Z14" s="12">
        <v>0</v>
      </c>
      <c r="AA14" s="12">
        <v>0</v>
      </c>
      <c r="AB14" s="11">
        <f>SUM(V14:AA14)</f>
        <v>41</v>
      </c>
      <c r="AC14" s="12">
        <v>18</v>
      </c>
      <c r="AD14" s="12">
        <v>2</v>
      </c>
      <c r="AE14" s="12">
        <v>0</v>
      </c>
      <c r="AF14" s="12">
        <v>0</v>
      </c>
      <c r="AG14" s="12">
        <v>0</v>
      </c>
      <c r="AH14" s="12">
        <v>0</v>
      </c>
      <c r="AI14" s="12">
        <v>0</v>
      </c>
      <c r="AJ14" s="11">
        <v>25</v>
      </c>
    </row>
    <row r="15" spans="2:36" ht="16">
      <c r="B15" s="131"/>
      <c r="C15" s="131"/>
      <c r="D15" s="309" t="s">
        <v>472</v>
      </c>
      <c r="E15" s="13"/>
      <c r="F15" s="14" t="s">
        <v>85</v>
      </c>
      <c r="G15" s="134">
        <f>+G13+G14</f>
        <v>217</v>
      </c>
      <c r="H15" s="134">
        <f>+H13+H14</f>
        <v>217</v>
      </c>
      <c r="I15" s="134">
        <f>+I13+I14</f>
        <v>879</v>
      </c>
      <c r="J15" s="134">
        <f>+J13+J14</f>
        <v>0</v>
      </c>
      <c r="K15" s="134">
        <f>+K13+K14</f>
        <v>7</v>
      </c>
      <c r="L15" s="14"/>
      <c r="M15" s="133">
        <f>+M13+M14</f>
        <v>0</v>
      </c>
      <c r="N15" s="18">
        <f t="shared" ref="N15:AJ15" si="2">SUM(N13:N14)</f>
        <v>1320</v>
      </c>
      <c r="O15" s="17">
        <f t="shared" si="2"/>
        <v>356</v>
      </c>
      <c r="P15" s="17">
        <f t="shared" si="2"/>
        <v>197</v>
      </c>
      <c r="Q15" s="17">
        <f t="shared" si="2"/>
        <v>391</v>
      </c>
      <c r="R15" s="17">
        <f t="shared" si="2"/>
        <v>11</v>
      </c>
      <c r="S15" s="17">
        <f t="shared" si="2"/>
        <v>0</v>
      </c>
      <c r="T15" s="17">
        <f t="shared" si="2"/>
        <v>0</v>
      </c>
      <c r="U15" s="18">
        <f t="shared" si="2"/>
        <v>955</v>
      </c>
      <c r="V15" s="17">
        <f t="shared" si="2"/>
        <v>281</v>
      </c>
      <c r="W15" s="17">
        <f t="shared" si="2"/>
        <v>139</v>
      </c>
      <c r="X15" s="17">
        <f t="shared" si="2"/>
        <v>146</v>
      </c>
      <c r="Y15" s="17">
        <f t="shared" si="2"/>
        <v>0</v>
      </c>
      <c r="Z15" s="17">
        <f t="shared" si="2"/>
        <v>0</v>
      </c>
      <c r="AA15" s="17">
        <f t="shared" si="2"/>
        <v>0</v>
      </c>
      <c r="AB15" s="18">
        <f t="shared" si="2"/>
        <v>566</v>
      </c>
      <c r="AC15" s="17">
        <f t="shared" si="2"/>
        <v>315</v>
      </c>
      <c r="AD15" s="17">
        <f t="shared" si="2"/>
        <v>156</v>
      </c>
      <c r="AE15" s="17">
        <f t="shared" si="2"/>
        <v>22</v>
      </c>
      <c r="AF15" s="17">
        <f t="shared" si="2"/>
        <v>0</v>
      </c>
      <c r="AG15" s="17">
        <f t="shared" si="2"/>
        <v>0</v>
      </c>
      <c r="AH15" s="17">
        <f t="shared" si="2"/>
        <v>0</v>
      </c>
      <c r="AI15" s="17">
        <f t="shared" si="2"/>
        <v>0</v>
      </c>
      <c r="AJ15" s="18">
        <f t="shared" si="2"/>
        <v>493</v>
      </c>
    </row>
    <row r="16" spans="2:36" ht="16">
      <c r="B16" s="131"/>
      <c r="C16" s="131"/>
      <c r="D16" s="131"/>
      <c r="E16" s="9"/>
      <c r="F16" s="10" t="s">
        <v>86</v>
      </c>
      <c r="G16" s="20">
        <f>G14/G15</f>
        <v>5.5299539170506916E-2</v>
      </c>
      <c r="H16" s="20">
        <f>H14/H15</f>
        <v>5.5299539170506916E-2</v>
      </c>
      <c r="I16" s="20">
        <f>I14/I15</f>
        <v>6.4846416382252553E-2</v>
      </c>
      <c r="J16" s="20">
        <v>0</v>
      </c>
      <c r="K16" s="20">
        <f>K14/K15</f>
        <v>1</v>
      </c>
      <c r="L16" s="20" t="e">
        <f>L14/L15</f>
        <v>#DIV/0!</v>
      </c>
      <c r="M16" s="20">
        <v>0</v>
      </c>
      <c r="N16" s="26">
        <f>+N14/N15</f>
        <v>6.6666666666666666E-2</v>
      </c>
      <c r="O16" s="22">
        <f>+O14/O15</f>
        <v>5.8988764044943819E-2</v>
      </c>
      <c r="P16" s="22">
        <f>+P14/P15</f>
        <v>5.0761421319796954E-2</v>
      </c>
      <c r="Q16" s="22">
        <f>+Q14/Q15</f>
        <v>0.10997442455242967</v>
      </c>
      <c r="R16" s="22">
        <v>0</v>
      </c>
      <c r="S16" s="22">
        <v>0</v>
      </c>
      <c r="T16" s="22">
        <v>0</v>
      </c>
      <c r="U16" s="26">
        <f>+U14/U15</f>
        <v>8.4816753926701571E-2</v>
      </c>
      <c r="V16" s="22">
        <f>+V14/V15</f>
        <v>7.8291814946619215E-2</v>
      </c>
      <c r="W16" s="22">
        <f>+W14/W15</f>
        <v>2.8776978417266189E-2</v>
      </c>
      <c r="X16" s="22">
        <f>+X14/X15</f>
        <v>0.10273972602739725</v>
      </c>
      <c r="Y16" s="22">
        <v>0</v>
      </c>
      <c r="Z16" s="22">
        <v>0</v>
      </c>
      <c r="AA16" s="22">
        <v>0</v>
      </c>
      <c r="AB16" s="26">
        <f t="shared" ref="AB16:AJ16" si="3">+AB14/AB15</f>
        <v>7.2438162544169613E-2</v>
      </c>
      <c r="AC16" s="22">
        <f t="shared" si="3"/>
        <v>5.7142857142857141E-2</v>
      </c>
      <c r="AD16" s="22">
        <f t="shared" si="3"/>
        <v>1.282051282051282E-2</v>
      </c>
      <c r="AE16" s="22">
        <f t="shared" si="3"/>
        <v>0</v>
      </c>
      <c r="AF16" s="22" t="e">
        <f t="shared" si="3"/>
        <v>#DIV/0!</v>
      </c>
      <c r="AG16" s="22" t="e">
        <f t="shared" si="3"/>
        <v>#DIV/0!</v>
      </c>
      <c r="AH16" s="22" t="e">
        <f t="shared" si="3"/>
        <v>#DIV/0!</v>
      </c>
      <c r="AI16" s="22" t="e">
        <f t="shared" si="3"/>
        <v>#DIV/0!</v>
      </c>
      <c r="AJ16" s="26">
        <f t="shared" si="3"/>
        <v>5.0709939148073022E-2</v>
      </c>
    </row>
    <row r="18" spans="5:37" ht="16">
      <c r="E18" s="7" t="s">
        <v>87</v>
      </c>
      <c r="F18" s="8"/>
      <c r="G18" s="8"/>
      <c r="H18" s="8"/>
      <c r="I18" s="8"/>
      <c r="J18" s="8"/>
      <c r="K18" s="8"/>
      <c r="L18" s="8"/>
      <c r="M18" s="8"/>
      <c r="N18" s="4"/>
      <c r="O18" s="4"/>
      <c r="P18" s="4"/>
      <c r="Q18" s="4"/>
      <c r="R18" s="4"/>
      <c r="S18" s="4"/>
      <c r="T18" s="4"/>
      <c r="U18" s="4"/>
      <c r="V18" s="4"/>
      <c r="W18" s="4"/>
      <c r="X18" s="4"/>
      <c r="Y18" s="4"/>
      <c r="Z18" s="4"/>
      <c r="AA18" s="4"/>
      <c r="AB18" s="4"/>
      <c r="AC18" s="4"/>
      <c r="AD18" s="4"/>
      <c r="AE18" s="4"/>
      <c r="AF18" s="4"/>
      <c r="AG18" s="4"/>
      <c r="AH18" s="4"/>
      <c r="AI18" s="4"/>
      <c r="AJ18" s="4"/>
      <c r="AK18" s="4"/>
    </row>
    <row r="19" spans="5:37" ht="16">
      <c r="E19" s="9"/>
      <c r="F19" s="10" t="s">
        <v>88</v>
      </c>
      <c r="G19" s="133">
        <f t="shared" ref="G19:K20" si="4">+G6+G13</f>
        <v>670</v>
      </c>
      <c r="H19" s="133">
        <f t="shared" si="4"/>
        <v>666</v>
      </c>
      <c r="I19" s="133">
        <f t="shared" si="4"/>
        <v>1067</v>
      </c>
      <c r="J19" s="133">
        <f t="shared" si="4"/>
        <v>67</v>
      </c>
      <c r="K19" s="133">
        <f t="shared" si="4"/>
        <v>42</v>
      </c>
      <c r="L19" s="10"/>
      <c r="M19" s="133">
        <f>+M6+M13</f>
        <v>8</v>
      </c>
      <c r="N19" s="11">
        <f>N13+N6</f>
        <v>2520</v>
      </c>
      <c r="O19" s="12">
        <v>804</v>
      </c>
      <c r="P19" s="12">
        <v>653</v>
      </c>
      <c r="Q19" s="12">
        <v>453</v>
      </c>
      <c r="R19" s="12">
        <v>55</v>
      </c>
      <c r="S19" s="12">
        <v>67</v>
      </c>
      <c r="T19" s="12">
        <v>9</v>
      </c>
      <c r="U19" s="11">
        <f t="shared" ref="U19:AJ19" si="5">U13+U6</f>
        <v>2041</v>
      </c>
      <c r="V19" s="12">
        <f t="shared" si="5"/>
        <v>710</v>
      </c>
      <c r="W19" s="12">
        <f t="shared" si="5"/>
        <v>601</v>
      </c>
      <c r="X19" s="12">
        <f t="shared" si="5"/>
        <v>183</v>
      </c>
      <c r="Y19" s="12">
        <f t="shared" si="5"/>
        <v>50</v>
      </c>
      <c r="Z19" s="12">
        <f t="shared" si="5"/>
        <v>59</v>
      </c>
      <c r="AA19" s="12">
        <f t="shared" si="5"/>
        <v>18</v>
      </c>
      <c r="AB19" s="11">
        <f t="shared" si="5"/>
        <v>1621</v>
      </c>
      <c r="AC19" s="12">
        <f t="shared" si="5"/>
        <v>766</v>
      </c>
      <c r="AD19" s="12">
        <f t="shared" si="5"/>
        <v>610</v>
      </c>
      <c r="AE19" s="12">
        <f t="shared" si="5"/>
        <v>63</v>
      </c>
      <c r="AF19" s="12">
        <f t="shared" si="5"/>
        <v>2</v>
      </c>
      <c r="AG19" s="12">
        <f t="shared" si="5"/>
        <v>38</v>
      </c>
      <c r="AH19" s="12">
        <f t="shared" si="5"/>
        <v>44</v>
      </c>
      <c r="AI19" s="12">
        <f t="shared" si="5"/>
        <v>25</v>
      </c>
      <c r="AJ19" s="11">
        <f t="shared" si="5"/>
        <v>1543</v>
      </c>
      <c r="AK19" s="4"/>
    </row>
    <row r="20" spans="5:37" ht="16">
      <c r="E20" s="9"/>
      <c r="F20" s="10" t="s">
        <v>89</v>
      </c>
      <c r="G20" s="133">
        <f t="shared" si="4"/>
        <v>103</v>
      </c>
      <c r="H20" s="133">
        <f t="shared" si="4"/>
        <v>52</v>
      </c>
      <c r="I20" s="133">
        <f t="shared" si="4"/>
        <v>103</v>
      </c>
      <c r="J20" s="133">
        <f t="shared" si="4"/>
        <v>16</v>
      </c>
      <c r="K20" s="133">
        <f t="shared" si="4"/>
        <v>41</v>
      </c>
      <c r="L20" s="10"/>
      <c r="M20" s="133">
        <v>11</v>
      </c>
      <c r="N20" s="11">
        <f>N14+N7</f>
        <v>326</v>
      </c>
      <c r="O20" s="12">
        <v>114</v>
      </c>
      <c r="P20" s="12">
        <v>48</v>
      </c>
      <c r="Q20" s="12">
        <v>64</v>
      </c>
      <c r="R20" s="12">
        <v>39</v>
      </c>
      <c r="S20" s="12">
        <v>14</v>
      </c>
      <c r="T20" s="12">
        <v>10</v>
      </c>
      <c r="U20" s="11">
        <f t="shared" ref="U20:AJ20" si="6">U14+U7</f>
        <v>289</v>
      </c>
      <c r="V20" s="12">
        <f t="shared" si="6"/>
        <v>108</v>
      </c>
      <c r="W20" s="12">
        <f t="shared" si="6"/>
        <v>41</v>
      </c>
      <c r="X20" s="12">
        <f t="shared" si="6"/>
        <v>32</v>
      </c>
      <c r="Y20" s="12">
        <f t="shared" si="6"/>
        <v>32</v>
      </c>
      <c r="Z20" s="12">
        <f t="shared" si="6"/>
        <v>14</v>
      </c>
      <c r="AA20" s="12">
        <f t="shared" si="6"/>
        <v>7</v>
      </c>
      <c r="AB20" s="11">
        <f t="shared" si="6"/>
        <v>234</v>
      </c>
      <c r="AC20" s="12">
        <f t="shared" si="6"/>
        <v>97</v>
      </c>
      <c r="AD20" s="12">
        <f t="shared" si="6"/>
        <v>38</v>
      </c>
      <c r="AE20" s="12">
        <f t="shared" si="6"/>
        <v>20</v>
      </c>
      <c r="AF20" s="12">
        <f t="shared" si="6"/>
        <v>0</v>
      </c>
      <c r="AG20" s="12">
        <f t="shared" si="6"/>
        <v>30</v>
      </c>
      <c r="AH20" s="12">
        <f t="shared" si="6"/>
        <v>11</v>
      </c>
      <c r="AI20" s="12">
        <f t="shared" si="6"/>
        <v>8</v>
      </c>
      <c r="AJ20" s="11">
        <f t="shared" si="6"/>
        <v>209</v>
      </c>
      <c r="AK20" s="4"/>
    </row>
    <row r="21" spans="5:37" ht="15.75" customHeight="1">
      <c r="E21" s="13"/>
      <c r="F21" s="14" t="s">
        <v>90</v>
      </c>
      <c r="G21" s="134">
        <f>+G19+G20</f>
        <v>773</v>
      </c>
      <c r="H21" s="134">
        <f>+H19+H20</f>
        <v>718</v>
      </c>
      <c r="I21" s="134">
        <f>+I19+I20</f>
        <v>1170</v>
      </c>
      <c r="J21" s="134">
        <f>+J19+J20</f>
        <v>83</v>
      </c>
      <c r="K21" s="134">
        <f>+K19+K20</f>
        <v>83</v>
      </c>
      <c r="L21" s="14"/>
      <c r="M21" s="133">
        <f>+M19+M20</f>
        <v>19</v>
      </c>
      <c r="N21" s="18">
        <f t="shared" ref="N21:AJ21" si="7">SUM(N19:N20)</f>
        <v>2846</v>
      </c>
      <c r="O21" s="17">
        <f t="shared" si="7"/>
        <v>918</v>
      </c>
      <c r="P21" s="17">
        <f t="shared" si="7"/>
        <v>701</v>
      </c>
      <c r="Q21" s="17">
        <f t="shared" si="7"/>
        <v>517</v>
      </c>
      <c r="R21" s="17">
        <f t="shared" si="7"/>
        <v>94</v>
      </c>
      <c r="S21" s="17">
        <f t="shared" si="7"/>
        <v>81</v>
      </c>
      <c r="T21" s="17">
        <f t="shared" si="7"/>
        <v>19</v>
      </c>
      <c r="U21" s="18">
        <f t="shared" si="7"/>
        <v>2330</v>
      </c>
      <c r="V21" s="17">
        <f t="shared" si="7"/>
        <v>818</v>
      </c>
      <c r="W21" s="17">
        <f t="shared" si="7"/>
        <v>642</v>
      </c>
      <c r="X21" s="17">
        <f t="shared" si="7"/>
        <v>215</v>
      </c>
      <c r="Y21" s="17">
        <f t="shared" si="7"/>
        <v>82</v>
      </c>
      <c r="Z21" s="17">
        <f t="shared" si="7"/>
        <v>73</v>
      </c>
      <c r="AA21" s="17">
        <f t="shared" si="7"/>
        <v>25</v>
      </c>
      <c r="AB21" s="18">
        <f t="shared" si="7"/>
        <v>1855</v>
      </c>
      <c r="AC21" s="17">
        <f t="shared" si="7"/>
        <v>863</v>
      </c>
      <c r="AD21" s="17">
        <f t="shared" si="7"/>
        <v>648</v>
      </c>
      <c r="AE21" s="17">
        <f t="shared" si="7"/>
        <v>83</v>
      </c>
      <c r="AF21" s="17">
        <f t="shared" si="7"/>
        <v>2</v>
      </c>
      <c r="AG21" s="17">
        <f t="shared" si="7"/>
        <v>68</v>
      </c>
      <c r="AH21" s="17">
        <f t="shared" si="7"/>
        <v>55</v>
      </c>
      <c r="AI21" s="17">
        <f t="shared" si="7"/>
        <v>33</v>
      </c>
      <c r="AJ21" s="18">
        <f t="shared" si="7"/>
        <v>1752</v>
      </c>
      <c r="AK21" s="19" t="s">
        <v>473</v>
      </c>
    </row>
    <row r="22" spans="5:37" ht="15.75" customHeight="1">
      <c r="E22" s="9"/>
      <c r="F22" s="10" t="s">
        <v>215</v>
      </c>
      <c r="G22" s="10">
        <v>0</v>
      </c>
      <c r="H22" s="10">
        <v>0</v>
      </c>
      <c r="I22" s="10">
        <v>0</v>
      </c>
      <c r="J22" s="10">
        <v>0</v>
      </c>
      <c r="K22" s="10">
        <v>0</v>
      </c>
      <c r="L22" s="10"/>
      <c r="M22" s="135" t="s">
        <v>191</v>
      </c>
      <c r="N22" s="11">
        <v>0</v>
      </c>
      <c r="O22" s="9">
        <v>0</v>
      </c>
      <c r="P22" s="9">
        <v>0</v>
      </c>
      <c r="Q22" s="9">
        <v>0</v>
      </c>
      <c r="R22" s="9">
        <v>0</v>
      </c>
      <c r="S22" s="9">
        <v>0</v>
      </c>
      <c r="T22" s="9">
        <v>0</v>
      </c>
      <c r="U22" s="11">
        <v>0</v>
      </c>
      <c r="V22" s="9">
        <v>0</v>
      </c>
      <c r="W22" s="9">
        <v>0</v>
      </c>
      <c r="X22" s="9">
        <v>0</v>
      </c>
      <c r="Y22" s="9">
        <v>0</v>
      </c>
      <c r="Z22" s="9">
        <v>0</v>
      </c>
      <c r="AA22" s="9">
        <v>0</v>
      </c>
      <c r="AB22" s="11">
        <v>0</v>
      </c>
      <c r="AC22" s="9"/>
      <c r="AD22" s="9">
        <v>0</v>
      </c>
      <c r="AE22" s="9">
        <v>0</v>
      </c>
      <c r="AF22" s="9">
        <v>0</v>
      </c>
      <c r="AG22" s="9">
        <v>1</v>
      </c>
      <c r="AH22" s="9">
        <v>0</v>
      </c>
      <c r="AI22" s="9">
        <v>0</v>
      </c>
      <c r="AJ22" s="11">
        <v>0</v>
      </c>
      <c r="AK22" s="4"/>
    </row>
    <row r="23" spans="5:37" ht="15.75" customHeight="1">
      <c r="E23" s="285"/>
      <c r="F23" s="286"/>
      <c r="G23" s="286"/>
      <c r="H23" s="286"/>
      <c r="I23" s="286"/>
      <c r="J23" s="286"/>
      <c r="K23" s="286"/>
      <c r="L23" s="286"/>
      <c r="M23" s="286"/>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8"/>
      <c r="AK23" s="25"/>
    </row>
    <row r="24" spans="5:37" ht="15.75" customHeight="1">
      <c r="E24" s="7" t="s">
        <v>91</v>
      </c>
      <c r="F24" s="8"/>
      <c r="G24" s="8"/>
      <c r="H24" s="8"/>
      <c r="I24" s="8"/>
      <c r="J24" s="8"/>
      <c r="K24" s="8"/>
      <c r="L24" s="8"/>
      <c r="M24" s="8"/>
      <c r="N24" s="4"/>
      <c r="O24" s="4"/>
      <c r="P24" s="4"/>
      <c r="Q24" s="4"/>
      <c r="R24" s="4"/>
      <c r="S24" s="4"/>
      <c r="T24" s="4"/>
      <c r="U24" s="4"/>
      <c r="V24" s="4"/>
      <c r="W24" s="4"/>
      <c r="X24" s="4"/>
      <c r="Y24" s="4"/>
      <c r="Z24" s="4"/>
      <c r="AA24" s="4"/>
      <c r="AB24" s="4"/>
      <c r="AC24" s="4"/>
      <c r="AD24" s="4"/>
      <c r="AE24" s="4"/>
      <c r="AF24" s="4"/>
      <c r="AG24" s="4"/>
      <c r="AH24" s="4"/>
      <c r="AI24" s="4"/>
      <c r="AJ24" s="4"/>
      <c r="AK24" s="4"/>
    </row>
    <row r="25" spans="5:37" ht="15.75" customHeight="1">
      <c r="E25" s="9"/>
      <c r="F25" s="10" t="s">
        <v>92</v>
      </c>
      <c r="G25" s="133">
        <v>468</v>
      </c>
      <c r="H25" s="133">
        <v>460</v>
      </c>
      <c r="I25" s="133">
        <v>174</v>
      </c>
      <c r="J25" s="133">
        <v>67</v>
      </c>
      <c r="K25" s="136">
        <v>44</v>
      </c>
      <c r="L25" s="10"/>
      <c r="M25" s="133">
        <v>11</v>
      </c>
      <c r="N25" s="11">
        <f>SUM(G25:M25)</f>
        <v>1224</v>
      </c>
      <c r="O25" s="12">
        <v>462</v>
      </c>
      <c r="P25" s="12">
        <v>463</v>
      </c>
      <c r="Q25" s="12">
        <v>60</v>
      </c>
      <c r="R25" s="12">
        <v>47</v>
      </c>
      <c r="S25" s="12">
        <v>66</v>
      </c>
      <c r="T25" s="12">
        <v>9</v>
      </c>
      <c r="U25" s="11">
        <f>SUM(O25:T25)</f>
        <v>1107</v>
      </c>
      <c r="V25" s="12">
        <v>468</v>
      </c>
      <c r="W25" s="12">
        <v>460</v>
      </c>
      <c r="X25" s="12">
        <f>7+36+8</f>
        <v>51</v>
      </c>
      <c r="Y25" s="12">
        <v>50</v>
      </c>
      <c r="Z25" s="12">
        <f>41+20</f>
        <v>61</v>
      </c>
      <c r="AA25" s="12">
        <f>12+12</f>
        <v>24</v>
      </c>
      <c r="AB25" s="11">
        <f>SUM(V25:AA25)</f>
        <v>1114</v>
      </c>
      <c r="AC25" s="12">
        <v>467</v>
      </c>
      <c r="AD25" s="12">
        <v>394</v>
      </c>
      <c r="AE25" s="12">
        <v>22</v>
      </c>
      <c r="AF25" s="12">
        <v>109</v>
      </c>
      <c r="AG25" s="12" t="s">
        <v>93</v>
      </c>
      <c r="AH25" s="12" t="s">
        <v>93</v>
      </c>
      <c r="AI25" s="12" t="s">
        <v>93</v>
      </c>
      <c r="AJ25" s="11">
        <f>SUM(AC25:AI25)</f>
        <v>992</v>
      </c>
      <c r="AK25" s="4"/>
    </row>
    <row r="26" spans="5:37" ht="15.75" customHeight="1">
      <c r="E26" s="9"/>
      <c r="F26" s="10" t="s">
        <v>94</v>
      </c>
      <c r="G26" s="133">
        <v>92</v>
      </c>
      <c r="H26" s="136">
        <v>39</v>
      </c>
      <c r="I26" s="136">
        <v>35</v>
      </c>
      <c r="J26" s="133">
        <v>15</v>
      </c>
      <c r="K26" s="133">
        <v>34</v>
      </c>
      <c r="L26" s="10"/>
      <c r="M26" s="133">
        <v>8</v>
      </c>
      <c r="N26" s="11">
        <f>SUM(G26:M26)</f>
        <v>223</v>
      </c>
      <c r="O26" s="12">
        <v>87</v>
      </c>
      <c r="P26" s="12">
        <v>36</v>
      </c>
      <c r="Q26" s="12">
        <v>17</v>
      </c>
      <c r="R26" s="12">
        <v>32</v>
      </c>
      <c r="S26" s="12">
        <v>16</v>
      </c>
      <c r="T26" s="12">
        <v>10</v>
      </c>
      <c r="U26" s="11">
        <f>SUM(O26:T26)</f>
        <v>198</v>
      </c>
      <c r="V26" s="12">
        <v>83</v>
      </c>
      <c r="W26" s="12">
        <v>38</v>
      </c>
      <c r="X26" s="12">
        <f>7+12</f>
        <v>19</v>
      </c>
      <c r="Y26" s="12">
        <v>33</v>
      </c>
      <c r="Z26" s="12">
        <f>10+4</f>
        <v>14</v>
      </c>
      <c r="AA26" s="12">
        <f>8+1</f>
        <v>9</v>
      </c>
      <c r="AB26" s="11">
        <f>SUM(V26:AA26)</f>
        <v>196</v>
      </c>
      <c r="AC26" s="12">
        <v>74</v>
      </c>
      <c r="AD26" s="12">
        <v>33</v>
      </c>
      <c r="AE26" s="12">
        <v>9</v>
      </c>
      <c r="AF26" s="12">
        <v>10</v>
      </c>
      <c r="AG26" s="12" t="s">
        <v>93</v>
      </c>
      <c r="AH26" s="12" t="s">
        <v>93</v>
      </c>
      <c r="AI26" s="12" t="s">
        <v>93</v>
      </c>
      <c r="AJ26" s="11">
        <f>SUM(AC26:AI26)</f>
        <v>126</v>
      </c>
      <c r="AK26" s="4"/>
    </row>
    <row r="27" spans="5:37" ht="15.75" customHeight="1">
      <c r="E27" s="9"/>
      <c r="F27" s="10" t="s">
        <v>95</v>
      </c>
      <c r="G27" s="133">
        <f>+G25+G26</f>
        <v>560</v>
      </c>
      <c r="H27" s="10">
        <f>+H25+H26</f>
        <v>499</v>
      </c>
      <c r="I27" s="10">
        <f>+I25+I26</f>
        <v>209</v>
      </c>
      <c r="J27" s="133">
        <f>+J25+J26</f>
        <v>82</v>
      </c>
      <c r="K27" s="133">
        <f>+K25+K26</f>
        <v>78</v>
      </c>
      <c r="L27" s="133"/>
      <c r="M27" s="133">
        <f>+M25+M26</f>
        <v>19</v>
      </c>
      <c r="N27" s="11">
        <f t="shared" ref="N27:AE27" si="8">SUM(N25:N26)</f>
        <v>1447</v>
      </c>
      <c r="O27" s="12">
        <f t="shared" si="8"/>
        <v>549</v>
      </c>
      <c r="P27" s="12">
        <f t="shared" si="8"/>
        <v>499</v>
      </c>
      <c r="Q27" s="12">
        <f t="shared" si="8"/>
        <v>77</v>
      </c>
      <c r="R27" s="12">
        <f t="shared" si="8"/>
        <v>79</v>
      </c>
      <c r="S27" s="12">
        <f t="shared" si="8"/>
        <v>82</v>
      </c>
      <c r="T27" s="12">
        <f t="shared" si="8"/>
        <v>19</v>
      </c>
      <c r="U27" s="11">
        <f t="shared" si="8"/>
        <v>1305</v>
      </c>
      <c r="V27" s="12">
        <f t="shared" si="8"/>
        <v>551</v>
      </c>
      <c r="W27" s="12">
        <f t="shared" si="8"/>
        <v>498</v>
      </c>
      <c r="X27" s="12">
        <f t="shared" si="8"/>
        <v>70</v>
      </c>
      <c r="Y27" s="12">
        <f t="shared" si="8"/>
        <v>83</v>
      </c>
      <c r="Z27" s="12">
        <f t="shared" si="8"/>
        <v>75</v>
      </c>
      <c r="AA27" s="12">
        <f t="shared" si="8"/>
        <v>33</v>
      </c>
      <c r="AB27" s="11">
        <f t="shared" si="8"/>
        <v>1310</v>
      </c>
      <c r="AC27" s="12">
        <f t="shared" si="8"/>
        <v>541</v>
      </c>
      <c r="AD27" s="12">
        <f t="shared" si="8"/>
        <v>427</v>
      </c>
      <c r="AE27" s="12">
        <f t="shared" si="8"/>
        <v>31</v>
      </c>
      <c r="AF27" s="12">
        <v>119</v>
      </c>
      <c r="AG27" s="12">
        <v>77</v>
      </c>
      <c r="AH27" s="12">
        <v>55</v>
      </c>
      <c r="AI27" s="12">
        <v>31</v>
      </c>
      <c r="AJ27" s="11">
        <f>SUM(AC27:AI27)</f>
        <v>1281</v>
      </c>
      <c r="AK27" s="4"/>
    </row>
    <row r="28" spans="5:37" ht="15.75" customHeight="1">
      <c r="E28" s="285"/>
      <c r="F28" s="286"/>
      <c r="G28" s="286"/>
      <c r="H28" s="286"/>
      <c r="I28" s="286"/>
      <c r="J28" s="286"/>
      <c r="K28" s="286"/>
      <c r="L28" s="286"/>
      <c r="M28" s="286"/>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5"/>
    </row>
    <row r="29" spans="5:37" ht="15.75" customHeight="1">
      <c r="E29" s="7" t="s">
        <v>96</v>
      </c>
      <c r="F29" s="8"/>
      <c r="G29" s="8"/>
      <c r="H29" s="8"/>
      <c r="I29" s="8"/>
      <c r="J29" s="8"/>
      <c r="K29" s="8"/>
      <c r="L29" s="8"/>
      <c r="M29" s="8"/>
      <c r="N29" s="5"/>
      <c r="O29" s="5"/>
      <c r="P29" s="5"/>
      <c r="Q29" s="5"/>
      <c r="R29" s="5"/>
      <c r="S29" s="5"/>
      <c r="T29" s="5"/>
      <c r="U29" s="5"/>
      <c r="V29" s="5"/>
      <c r="W29" s="5"/>
      <c r="X29" s="5"/>
      <c r="Y29" s="5"/>
      <c r="Z29" s="5"/>
      <c r="AA29" s="5"/>
      <c r="AB29" s="5"/>
      <c r="AC29" s="5"/>
      <c r="AD29" s="5"/>
      <c r="AE29" s="5"/>
      <c r="AF29" s="5"/>
      <c r="AG29" s="5"/>
      <c r="AH29" s="5"/>
      <c r="AI29" s="5"/>
      <c r="AJ29" s="5"/>
      <c r="AK29" s="4"/>
    </row>
    <row r="30" spans="5:37" ht="15.75" customHeight="1">
      <c r="E30" s="9"/>
      <c r="F30" s="10" t="s">
        <v>97</v>
      </c>
      <c r="G30" s="133">
        <v>302</v>
      </c>
      <c r="H30" s="133">
        <v>194</v>
      </c>
      <c r="I30" s="133">
        <v>616</v>
      </c>
      <c r="J30" s="133">
        <v>0</v>
      </c>
      <c r="K30" s="136">
        <v>7</v>
      </c>
      <c r="L30" s="10"/>
      <c r="M30" s="135" t="s">
        <v>191</v>
      </c>
      <c r="N30" s="11">
        <f>SUM(G30:M30)</f>
        <v>1119</v>
      </c>
      <c r="O30" s="12">
        <v>332</v>
      </c>
      <c r="P30" s="12">
        <v>162</v>
      </c>
      <c r="Q30" s="12">
        <v>306</v>
      </c>
      <c r="R30" s="12">
        <v>43</v>
      </c>
      <c r="S30" s="33">
        <v>0</v>
      </c>
      <c r="T30" s="12">
        <v>0</v>
      </c>
      <c r="U30" s="11">
        <f>SUM(O30:T30)</f>
        <v>843</v>
      </c>
      <c r="V30" s="12">
        <v>307</v>
      </c>
      <c r="W30" s="12">
        <v>149</v>
      </c>
      <c r="X30" s="12">
        <v>92</v>
      </c>
      <c r="Y30" s="12">
        <v>0</v>
      </c>
      <c r="Z30" s="33" t="s">
        <v>26</v>
      </c>
      <c r="AA30" s="12">
        <v>0</v>
      </c>
      <c r="AB30" s="11">
        <f>SUM(V30:AA30)</f>
        <v>548</v>
      </c>
      <c r="AC30" s="12">
        <v>383</v>
      </c>
      <c r="AD30" s="12">
        <v>208</v>
      </c>
      <c r="AE30" s="12">
        <v>55</v>
      </c>
      <c r="AF30" s="12">
        <v>33</v>
      </c>
      <c r="AG30" s="12">
        <v>0</v>
      </c>
      <c r="AH30" s="12">
        <v>0</v>
      </c>
      <c r="AI30" s="12">
        <v>0</v>
      </c>
      <c r="AJ30" s="11">
        <f>SUM(AC30:AI30)</f>
        <v>679</v>
      </c>
      <c r="AK30" s="4"/>
    </row>
    <row r="31" spans="5:37" ht="15.75" customHeight="1">
      <c r="E31" s="9"/>
      <c r="F31" s="10" t="s">
        <v>98</v>
      </c>
      <c r="G31" s="133">
        <v>20</v>
      </c>
      <c r="H31" s="133">
        <v>11</v>
      </c>
      <c r="I31" s="133">
        <v>50</v>
      </c>
      <c r="J31" s="133">
        <v>0</v>
      </c>
      <c r="K31" s="136">
        <v>0</v>
      </c>
      <c r="L31" s="10"/>
      <c r="M31" s="135" t="s">
        <v>191</v>
      </c>
      <c r="N31" s="11">
        <f>SUM(G31:M31)</f>
        <v>81</v>
      </c>
      <c r="O31" s="12">
        <v>22</v>
      </c>
      <c r="P31" s="12">
        <v>10</v>
      </c>
      <c r="Q31" s="12">
        <v>29</v>
      </c>
      <c r="R31" s="12">
        <v>35</v>
      </c>
      <c r="S31" s="33">
        <v>0</v>
      </c>
      <c r="T31" s="12">
        <v>0</v>
      </c>
      <c r="U31" s="11">
        <f>SUM(O31:T31)</f>
        <v>96</v>
      </c>
      <c r="V31" s="12">
        <v>20</v>
      </c>
      <c r="W31" s="12">
        <v>6</v>
      </c>
      <c r="X31" s="12">
        <v>10</v>
      </c>
      <c r="Y31" s="12">
        <v>0</v>
      </c>
      <c r="Z31" s="33" t="s">
        <v>26</v>
      </c>
      <c r="AA31" s="12">
        <v>0</v>
      </c>
      <c r="AB31" s="11">
        <f>SUM(V31:AA31)</f>
        <v>36</v>
      </c>
      <c r="AC31" s="12">
        <v>19</v>
      </c>
      <c r="AD31" s="12">
        <v>3</v>
      </c>
      <c r="AE31" s="12">
        <v>0</v>
      </c>
      <c r="AF31" s="12">
        <v>0</v>
      </c>
      <c r="AG31" s="12">
        <v>0</v>
      </c>
      <c r="AH31" s="12">
        <v>0</v>
      </c>
      <c r="AI31" s="12">
        <v>0</v>
      </c>
      <c r="AJ31" s="11">
        <f>SUM(AC31:AI31)</f>
        <v>22</v>
      </c>
      <c r="AK31" s="4"/>
    </row>
    <row r="32" spans="5:37" ht="15.75" customHeight="1">
      <c r="E32" s="9"/>
      <c r="F32" s="10" t="s">
        <v>99</v>
      </c>
      <c r="G32" s="133">
        <f>+G30+G31</f>
        <v>322</v>
      </c>
      <c r="H32" s="133">
        <f>+H30+H31</f>
        <v>205</v>
      </c>
      <c r="I32" s="133">
        <f>+I30+I31</f>
        <v>666</v>
      </c>
      <c r="J32" s="133">
        <f>+J30+J31</f>
        <v>0</v>
      </c>
      <c r="K32" s="136">
        <f>+K30+K31</f>
        <v>7</v>
      </c>
      <c r="L32" s="10"/>
      <c r="M32" s="135" t="s">
        <v>191</v>
      </c>
      <c r="N32" s="11">
        <f t="shared" ref="N32:AJ32" si="9">SUM(N30:N31)</f>
        <v>1200</v>
      </c>
      <c r="O32" s="12">
        <f t="shared" si="9"/>
        <v>354</v>
      </c>
      <c r="P32" s="12">
        <f t="shared" si="9"/>
        <v>172</v>
      </c>
      <c r="Q32" s="12">
        <f t="shared" si="9"/>
        <v>335</v>
      </c>
      <c r="R32" s="12">
        <f t="shared" si="9"/>
        <v>78</v>
      </c>
      <c r="S32" s="12">
        <f t="shared" si="9"/>
        <v>0</v>
      </c>
      <c r="T32" s="12">
        <f t="shared" si="9"/>
        <v>0</v>
      </c>
      <c r="U32" s="11">
        <f t="shared" si="9"/>
        <v>939</v>
      </c>
      <c r="V32" s="12">
        <f t="shared" si="9"/>
        <v>327</v>
      </c>
      <c r="W32" s="12">
        <f t="shared" si="9"/>
        <v>155</v>
      </c>
      <c r="X32" s="12">
        <f t="shared" si="9"/>
        <v>102</v>
      </c>
      <c r="Y32" s="12">
        <f t="shared" si="9"/>
        <v>0</v>
      </c>
      <c r="Z32" s="12">
        <f t="shared" si="9"/>
        <v>0</v>
      </c>
      <c r="AA32" s="12">
        <f t="shared" si="9"/>
        <v>0</v>
      </c>
      <c r="AB32" s="11">
        <f t="shared" si="9"/>
        <v>584</v>
      </c>
      <c r="AC32" s="12">
        <f t="shared" si="9"/>
        <v>402</v>
      </c>
      <c r="AD32" s="12">
        <f t="shared" si="9"/>
        <v>211</v>
      </c>
      <c r="AE32" s="12">
        <f t="shared" si="9"/>
        <v>55</v>
      </c>
      <c r="AF32" s="12">
        <f t="shared" si="9"/>
        <v>33</v>
      </c>
      <c r="AG32" s="12">
        <f t="shared" si="9"/>
        <v>0</v>
      </c>
      <c r="AH32" s="12">
        <f t="shared" si="9"/>
        <v>0</v>
      </c>
      <c r="AI32" s="12">
        <f t="shared" si="9"/>
        <v>0</v>
      </c>
      <c r="AJ32" s="11">
        <f t="shared" si="9"/>
        <v>701</v>
      </c>
      <c r="AK32" s="4"/>
    </row>
    <row r="33" spans="2:36" ht="15.75" customHeight="1">
      <c r="B33" s="131" t="s">
        <v>474</v>
      </c>
      <c r="C33" s="131"/>
      <c r="D33" s="131"/>
      <c r="E33" s="285"/>
      <c r="F33" s="285"/>
      <c r="G33" s="285"/>
      <c r="H33" s="285"/>
      <c r="I33" s="285"/>
      <c r="J33" s="285"/>
      <c r="K33" s="285"/>
      <c r="L33" s="285"/>
      <c r="M33" s="285"/>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row>
    <row r="34" spans="2:36" ht="15.75" customHeight="1">
      <c r="B34" s="131" t="s">
        <v>474</v>
      </c>
      <c r="C34" s="131"/>
      <c r="D34" s="131"/>
      <c r="E34" s="7" t="s">
        <v>100</v>
      </c>
      <c r="F34" s="8"/>
      <c r="G34" s="8"/>
      <c r="H34" s="8"/>
      <c r="I34" s="8"/>
      <c r="J34" s="8"/>
      <c r="K34" s="8"/>
      <c r="L34" s="8"/>
      <c r="M34" s="8"/>
      <c r="N34" s="5"/>
      <c r="O34" s="5"/>
      <c r="P34" s="5"/>
      <c r="Q34" s="5"/>
      <c r="R34" s="5"/>
      <c r="S34" s="5"/>
      <c r="T34" s="5"/>
      <c r="U34" s="5"/>
      <c r="V34" s="5"/>
      <c r="W34" s="5"/>
      <c r="X34" s="5"/>
      <c r="Y34" s="5"/>
      <c r="Z34" s="5"/>
      <c r="AA34" s="5"/>
      <c r="AB34" s="5"/>
      <c r="AC34" s="5"/>
      <c r="AD34" s="5"/>
      <c r="AE34" s="5"/>
      <c r="AF34" s="5"/>
      <c r="AG34" s="5"/>
      <c r="AH34" s="5"/>
      <c r="AI34" s="5"/>
      <c r="AJ34" s="5"/>
    </row>
    <row r="35" spans="2:36" ht="15.75" customHeight="1">
      <c r="B35" s="132"/>
      <c r="C35" s="132"/>
      <c r="D35" s="132"/>
      <c r="E35" s="9"/>
      <c r="F35" s="10" t="s">
        <v>101</v>
      </c>
      <c r="G35" s="136">
        <v>120</v>
      </c>
      <c r="H35" s="136">
        <v>89</v>
      </c>
      <c r="I35" s="136">
        <v>131</v>
      </c>
      <c r="J35" s="136">
        <v>7</v>
      </c>
      <c r="K35" s="136">
        <v>42</v>
      </c>
      <c r="L35" s="10"/>
      <c r="M35" s="10">
        <f>M6</f>
        <v>8</v>
      </c>
      <c r="N35" s="11">
        <f>SUM(G35:M35)</f>
        <v>397</v>
      </c>
      <c r="O35" s="12">
        <f>117+2</f>
        <v>119</v>
      </c>
      <c r="P35" s="12">
        <v>92</v>
      </c>
      <c r="Q35" s="12">
        <f>59+11</f>
        <v>70</v>
      </c>
      <c r="R35" s="12">
        <f>47+4</f>
        <v>51</v>
      </c>
      <c r="S35" s="12">
        <f>22+1</f>
        <v>23</v>
      </c>
      <c r="T35" s="12">
        <v>9</v>
      </c>
      <c r="U35" s="11">
        <f>SUM(O35:T35)</f>
        <v>364</v>
      </c>
      <c r="V35" s="12">
        <v>124</v>
      </c>
      <c r="W35" s="12">
        <v>89</v>
      </c>
      <c r="X35" s="12">
        <v>44</v>
      </c>
      <c r="Y35" s="12">
        <v>50</v>
      </c>
      <c r="Z35" s="12">
        <f>18+5</f>
        <v>23</v>
      </c>
      <c r="AA35" s="12">
        <f>AA6</f>
        <v>18</v>
      </c>
      <c r="AB35" s="11">
        <f>SUM(V35:AA35)</f>
        <v>348</v>
      </c>
      <c r="AC35" s="12">
        <v>119</v>
      </c>
      <c r="AD35" s="12">
        <v>89</v>
      </c>
      <c r="AE35" s="12">
        <v>36</v>
      </c>
      <c r="AF35" s="12">
        <v>2</v>
      </c>
      <c r="AG35" s="12">
        <v>38</v>
      </c>
      <c r="AH35" s="12">
        <v>16</v>
      </c>
      <c r="AI35" s="12">
        <v>25</v>
      </c>
      <c r="AJ35" s="11">
        <f>SUM(AC35:AI35)</f>
        <v>325</v>
      </c>
    </row>
    <row r="36" spans="2:36" ht="15.75" customHeight="1">
      <c r="B36" s="131"/>
      <c r="C36" s="131"/>
      <c r="D36" s="131"/>
      <c r="E36" s="9"/>
      <c r="F36" s="10" t="s">
        <v>102</v>
      </c>
      <c r="G36" s="136">
        <v>34</v>
      </c>
      <c r="H36" s="136">
        <v>22</v>
      </c>
      <c r="I36" s="136">
        <v>24</v>
      </c>
      <c r="J36" s="136">
        <v>21</v>
      </c>
      <c r="K36" s="136">
        <v>34</v>
      </c>
      <c r="L36" s="10"/>
      <c r="M36" s="10">
        <f>M7</f>
        <v>11</v>
      </c>
      <c r="N36" s="11">
        <f>SUM(G36:M36)</f>
        <v>146</v>
      </c>
      <c r="O36" s="12">
        <v>35</v>
      </c>
      <c r="P36" s="12">
        <v>21</v>
      </c>
      <c r="Q36" s="12">
        <v>15</v>
      </c>
      <c r="R36" s="12">
        <v>32</v>
      </c>
      <c r="S36" s="12">
        <v>7</v>
      </c>
      <c r="T36" s="12">
        <v>10</v>
      </c>
      <c r="U36" s="11">
        <f>SUM(O36:T36)</f>
        <v>120</v>
      </c>
      <c r="V36" s="12">
        <v>32</v>
      </c>
      <c r="W36" s="12">
        <v>23</v>
      </c>
      <c r="X36" s="12">
        <v>10</v>
      </c>
      <c r="Y36" s="12">
        <v>32</v>
      </c>
      <c r="Z36" s="12">
        <f>6+1</f>
        <v>7</v>
      </c>
      <c r="AA36" s="12">
        <f>AA7</f>
        <v>7</v>
      </c>
      <c r="AB36" s="11">
        <f>SUM(V36:AA36)</f>
        <v>111</v>
      </c>
      <c r="AC36" s="12">
        <v>30</v>
      </c>
      <c r="AD36" s="12">
        <v>22</v>
      </c>
      <c r="AE36" s="12">
        <v>12</v>
      </c>
      <c r="AF36" s="12">
        <v>0</v>
      </c>
      <c r="AG36" s="12">
        <v>30</v>
      </c>
      <c r="AH36" s="12">
        <v>8</v>
      </c>
      <c r="AI36" s="12">
        <v>8</v>
      </c>
      <c r="AJ36" s="11">
        <f>SUM(AC36:AI36)</f>
        <v>110</v>
      </c>
    </row>
    <row r="37" spans="2:36" ht="15.75" customHeight="1">
      <c r="B37" s="131"/>
      <c r="C37" s="131"/>
      <c r="D37" s="131"/>
      <c r="E37" s="13"/>
      <c r="F37" s="14" t="s">
        <v>103</v>
      </c>
      <c r="G37" s="137">
        <f>SUM(G35:G36)</f>
        <v>154</v>
      </c>
      <c r="H37" s="137">
        <f>SUM(H35:H36)</f>
        <v>111</v>
      </c>
      <c r="I37" s="137">
        <f>SUM(I35:I36)</f>
        <v>155</v>
      </c>
      <c r="J37" s="137">
        <f>SUM(J35:J36)</f>
        <v>28</v>
      </c>
      <c r="K37" s="137">
        <f>SUM(K35:K36)</f>
        <v>76</v>
      </c>
      <c r="L37" s="14"/>
      <c r="M37" s="14">
        <f t="shared" ref="M37:AJ37" si="10">SUM(M35:M36)</f>
        <v>19</v>
      </c>
      <c r="N37" s="18">
        <f t="shared" si="10"/>
        <v>543</v>
      </c>
      <c r="O37" s="17">
        <f t="shared" si="10"/>
        <v>154</v>
      </c>
      <c r="P37" s="17">
        <f t="shared" si="10"/>
        <v>113</v>
      </c>
      <c r="Q37" s="17">
        <f t="shared" si="10"/>
        <v>85</v>
      </c>
      <c r="R37" s="17">
        <f t="shared" si="10"/>
        <v>83</v>
      </c>
      <c r="S37" s="17">
        <f t="shared" si="10"/>
        <v>30</v>
      </c>
      <c r="T37" s="17">
        <f t="shared" si="10"/>
        <v>19</v>
      </c>
      <c r="U37" s="18">
        <f t="shared" si="10"/>
        <v>484</v>
      </c>
      <c r="V37" s="17">
        <f t="shared" si="10"/>
        <v>156</v>
      </c>
      <c r="W37" s="17">
        <f t="shared" si="10"/>
        <v>112</v>
      </c>
      <c r="X37" s="17">
        <f t="shared" si="10"/>
        <v>54</v>
      </c>
      <c r="Y37" s="17">
        <f t="shared" si="10"/>
        <v>82</v>
      </c>
      <c r="Z37" s="17">
        <f t="shared" si="10"/>
        <v>30</v>
      </c>
      <c r="AA37" s="17">
        <f t="shared" si="10"/>
        <v>25</v>
      </c>
      <c r="AB37" s="18">
        <f t="shared" si="10"/>
        <v>459</v>
      </c>
      <c r="AC37" s="17">
        <f t="shared" si="10"/>
        <v>149</v>
      </c>
      <c r="AD37" s="17">
        <f t="shared" si="10"/>
        <v>111</v>
      </c>
      <c r="AE37" s="17">
        <f t="shared" si="10"/>
        <v>48</v>
      </c>
      <c r="AF37" s="17">
        <f t="shared" si="10"/>
        <v>2</v>
      </c>
      <c r="AG37" s="17">
        <f t="shared" si="10"/>
        <v>68</v>
      </c>
      <c r="AH37" s="17">
        <f t="shared" si="10"/>
        <v>24</v>
      </c>
      <c r="AI37" s="17">
        <f t="shared" si="10"/>
        <v>33</v>
      </c>
      <c r="AJ37" s="18">
        <f t="shared" si="10"/>
        <v>435</v>
      </c>
    </row>
    <row r="38" spans="2:36" ht="15.75" customHeight="1">
      <c r="B38" s="131"/>
      <c r="C38" s="131"/>
      <c r="D38" s="131"/>
      <c r="E38" s="10"/>
      <c r="F38" s="10" t="s">
        <v>104</v>
      </c>
      <c r="G38" s="136">
        <v>43</v>
      </c>
      <c r="H38" s="136">
        <v>13</v>
      </c>
      <c r="I38" s="136">
        <v>7</v>
      </c>
      <c r="J38" s="136">
        <v>1</v>
      </c>
      <c r="K38" s="136">
        <v>0</v>
      </c>
      <c r="L38" s="10"/>
      <c r="M38" s="10">
        <v>19</v>
      </c>
      <c r="N38" s="11">
        <f>SUM(G38:M38)</f>
        <v>83</v>
      </c>
      <c r="O38" s="12">
        <v>27</v>
      </c>
      <c r="P38" s="12">
        <v>64</v>
      </c>
      <c r="Q38" s="12">
        <v>1</v>
      </c>
      <c r="R38" s="12">
        <v>34</v>
      </c>
      <c r="S38" s="12">
        <v>11</v>
      </c>
      <c r="T38" s="12">
        <v>18</v>
      </c>
      <c r="U38" s="11">
        <f>SUM(O38:T38)</f>
        <v>155</v>
      </c>
      <c r="V38" s="12">
        <v>27</v>
      </c>
      <c r="W38" s="12">
        <v>64</v>
      </c>
      <c r="X38" s="12">
        <v>0</v>
      </c>
      <c r="Y38" s="12">
        <v>29</v>
      </c>
      <c r="Z38" s="12">
        <v>7</v>
      </c>
      <c r="AA38" s="12">
        <v>18</v>
      </c>
      <c r="AB38" s="11">
        <f>SUM(V38:AA38)</f>
        <v>145</v>
      </c>
      <c r="AC38" s="12">
        <v>39</v>
      </c>
      <c r="AD38" s="12">
        <v>5</v>
      </c>
      <c r="AE38" s="12">
        <v>3</v>
      </c>
      <c r="AF38" s="12">
        <v>1</v>
      </c>
      <c r="AG38" s="12">
        <v>37</v>
      </c>
      <c r="AH38" s="12">
        <v>0</v>
      </c>
      <c r="AI38" s="12">
        <v>15</v>
      </c>
      <c r="AJ38" s="11">
        <f>SUM(AC38:AI38)</f>
        <v>100</v>
      </c>
    </row>
    <row r="39" spans="2:36" ht="15.75" customHeight="1">
      <c r="B39" s="131"/>
      <c r="C39" s="131"/>
      <c r="D39" s="131"/>
      <c r="E39" s="9"/>
      <c r="F39" s="10" t="s">
        <v>105</v>
      </c>
      <c r="G39" s="136">
        <v>48</v>
      </c>
      <c r="H39" s="136">
        <v>78</v>
      </c>
      <c r="I39" s="136">
        <v>7</v>
      </c>
      <c r="J39" s="136">
        <v>20</v>
      </c>
      <c r="K39" s="136">
        <v>39</v>
      </c>
      <c r="L39" s="10"/>
      <c r="M39" s="10">
        <v>0</v>
      </c>
      <c r="N39" s="11">
        <f>SUM(G39:M39)</f>
        <v>192</v>
      </c>
      <c r="O39" s="12">
        <v>54</v>
      </c>
      <c r="P39" s="12">
        <v>13</v>
      </c>
      <c r="Q39" s="12">
        <v>10</v>
      </c>
      <c r="R39" s="12">
        <v>10</v>
      </c>
      <c r="S39" s="12">
        <v>2</v>
      </c>
      <c r="T39" s="12">
        <v>0</v>
      </c>
      <c r="U39" s="11">
        <f>SUM(O39:T39)</f>
        <v>89</v>
      </c>
      <c r="V39" s="12">
        <v>50</v>
      </c>
      <c r="W39" s="12">
        <v>11</v>
      </c>
      <c r="X39" s="12">
        <v>6</v>
      </c>
      <c r="Y39" s="12">
        <v>10</v>
      </c>
      <c r="Z39" s="12">
        <f>2+4</f>
        <v>6</v>
      </c>
      <c r="AA39" s="12">
        <v>0</v>
      </c>
      <c r="AB39" s="11">
        <f>SUM(V39:AA39)</f>
        <v>83</v>
      </c>
      <c r="AC39" s="12">
        <v>51</v>
      </c>
      <c r="AD39" s="12">
        <v>89</v>
      </c>
      <c r="AE39" s="12">
        <v>5</v>
      </c>
      <c r="AF39" s="12">
        <v>1</v>
      </c>
      <c r="AG39" s="12">
        <v>6</v>
      </c>
      <c r="AH39" s="12">
        <v>9</v>
      </c>
      <c r="AI39" s="12">
        <v>0</v>
      </c>
      <c r="AJ39" s="11">
        <f>SUM(AC39:AI39)</f>
        <v>161</v>
      </c>
    </row>
    <row r="40" spans="2:36" ht="15.75" customHeight="1">
      <c r="B40" s="131"/>
      <c r="C40" s="131"/>
      <c r="D40" s="131"/>
      <c r="E40" s="9"/>
      <c r="F40" s="10" t="s">
        <v>106</v>
      </c>
      <c r="G40" s="136">
        <v>63</v>
      </c>
      <c r="H40" s="136">
        <v>20</v>
      </c>
      <c r="I40" s="136">
        <v>141</v>
      </c>
      <c r="J40" s="136">
        <v>7</v>
      </c>
      <c r="K40" s="136">
        <v>37</v>
      </c>
      <c r="L40" s="10"/>
      <c r="M40" s="135" t="s">
        <v>191</v>
      </c>
      <c r="N40" s="11">
        <f>SUM(G40:M40)</f>
        <v>268</v>
      </c>
      <c r="O40" s="12">
        <v>71</v>
      </c>
      <c r="P40" s="12">
        <v>36</v>
      </c>
      <c r="Q40" s="12">
        <v>63</v>
      </c>
      <c r="R40" s="12">
        <v>35</v>
      </c>
      <c r="S40" s="12">
        <v>16</v>
      </c>
      <c r="T40" s="12">
        <v>0</v>
      </c>
      <c r="U40" s="11">
        <f>SUM(O40:T40)</f>
        <v>221</v>
      </c>
      <c r="V40" s="12">
        <v>79</v>
      </c>
      <c r="W40" s="12">
        <v>37</v>
      </c>
      <c r="X40" s="12">
        <v>40</v>
      </c>
      <c r="Y40" s="12">
        <v>37</v>
      </c>
      <c r="Z40" s="12">
        <f>15+2</f>
        <v>17</v>
      </c>
      <c r="AA40" s="12">
        <v>0</v>
      </c>
      <c r="AB40" s="11">
        <f>SUM(V40:AA40)</f>
        <v>210</v>
      </c>
      <c r="AC40" s="12">
        <v>59</v>
      </c>
      <c r="AD40" s="12">
        <v>17</v>
      </c>
      <c r="AE40" s="12">
        <v>40</v>
      </c>
      <c r="AF40" s="12">
        <v>0</v>
      </c>
      <c r="AG40" s="12">
        <v>25</v>
      </c>
      <c r="AH40" s="12">
        <v>15</v>
      </c>
      <c r="AI40" s="12">
        <v>0</v>
      </c>
      <c r="AJ40" s="11">
        <f>SUM(AC40:AI40)</f>
        <v>156</v>
      </c>
    </row>
    <row r="41" spans="2:36" ht="15.75" customHeight="1">
      <c r="B41" s="131"/>
      <c r="C41" s="131"/>
      <c r="D41" s="131"/>
      <c r="E41" s="9"/>
      <c r="F41" s="10" t="s">
        <v>107</v>
      </c>
      <c r="G41" s="136">
        <v>0</v>
      </c>
      <c r="H41" s="136">
        <v>0</v>
      </c>
      <c r="I41" s="136">
        <v>0</v>
      </c>
      <c r="J41" s="136">
        <v>0</v>
      </c>
      <c r="K41" s="136">
        <v>0</v>
      </c>
      <c r="L41" s="10"/>
      <c r="M41" s="10">
        <v>1</v>
      </c>
      <c r="N41" s="11">
        <f>SUM(G41:M41)</f>
        <v>1</v>
      </c>
      <c r="O41" s="9">
        <v>2</v>
      </c>
      <c r="P41" s="9">
        <v>0</v>
      </c>
      <c r="Q41" s="9">
        <v>11</v>
      </c>
      <c r="R41" s="9">
        <v>4</v>
      </c>
      <c r="S41" s="9">
        <v>1</v>
      </c>
      <c r="T41" s="12">
        <v>1</v>
      </c>
      <c r="U41" s="11">
        <f>SUM(O41:T41)</f>
        <v>19</v>
      </c>
      <c r="V41" s="12">
        <v>0</v>
      </c>
      <c r="W41" s="12">
        <v>0</v>
      </c>
      <c r="X41" s="12">
        <v>8</v>
      </c>
      <c r="Y41" s="12">
        <v>6</v>
      </c>
      <c r="Z41" s="12">
        <v>0</v>
      </c>
      <c r="AA41" s="12">
        <v>7</v>
      </c>
      <c r="AB41" s="11">
        <f>SUM(V41:AA41)</f>
        <v>21</v>
      </c>
      <c r="AC41" s="12">
        <v>0</v>
      </c>
      <c r="AD41" s="12">
        <v>0</v>
      </c>
      <c r="AE41" s="12">
        <v>0</v>
      </c>
      <c r="AF41" s="12">
        <v>0</v>
      </c>
      <c r="AG41" s="12">
        <v>0</v>
      </c>
      <c r="AH41" s="12">
        <v>0</v>
      </c>
      <c r="AI41" s="12">
        <v>18</v>
      </c>
      <c r="AJ41" s="11">
        <f>SUM(AC41:AI41)</f>
        <v>18</v>
      </c>
    </row>
    <row r="42" spans="2:36" ht="15.75" customHeight="1">
      <c r="B42" s="131" t="s">
        <v>474</v>
      </c>
      <c r="C42" s="131"/>
      <c r="D42" s="131"/>
      <c r="E42" s="285"/>
      <c r="F42" s="286"/>
      <c r="G42" s="138"/>
      <c r="H42" s="138"/>
      <c r="I42" s="138"/>
      <c r="J42" s="138"/>
      <c r="K42" s="138"/>
      <c r="L42" s="286"/>
      <c r="M42" s="286"/>
      <c r="N42" s="288"/>
      <c r="O42" s="288"/>
      <c r="P42" s="288"/>
      <c r="Q42" s="288"/>
      <c r="R42" s="288"/>
      <c r="S42" s="288"/>
      <c r="T42" s="288"/>
      <c r="U42" s="288"/>
      <c r="V42" s="285"/>
      <c r="W42" s="285"/>
      <c r="X42" s="285"/>
      <c r="Y42" s="285"/>
      <c r="Z42" s="285"/>
      <c r="AA42" s="288"/>
      <c r="AB42" s="288"/>
      <c r="AC42" s="288"/>
      <c r="AD42" s="288"/>
      <c r="AE42" s="288"/>
      <c r="AF42" s="288"/>
      <c r="AG42" s="288"/>
      <c r="AH42" s="288"/>
      <c r="AI42" s="288"/>
      <c r="AJ42" s="288"/>
    </row>
    <row r="43" spans="2:36" ht="15.75" customHeight="1">
      <c r="B43" s="131" t="s">
        <v>474</v>
      </c>
      <c r="C43" s="131"/>
      <c r="D43" s="131"/>
      <c r="E43" s="7" t="s">
        <v>108</v>
      </c>
      <c r="F43" s="8"/>
      <c r="G43" s="310"/>
      <c r="H43" s="310"/>
      <c r="I43" s="310"/>
      <c r="J43" s="310"/>
      <c r="K43" s="310"/>
      <c r="L43" s="8"/>
      <c r="M43" s="8"/>
      <c r="N43" s="4"/>
      <c r="O43" s="4"/>
      <c r="P43" s="4"/>
      <c r="Q43" s="4"/>
      <c r="R43" s="4"/>
      <c r="S43" s="4"/>
      <c r="T43" s="4"/>
      <c r="U43" s="4"/>
      <c r="V43" s="4"/>
      <c r="W43" s="4"/>
      <c r="X43" s="4"/>
      <c r="Y43" s="4"/>
      <c r="Z43" s="4"/>
      <c r="AA43" s="4"/>
      <c r="AB43" s="4"/>
      <c r="AC43" s="4"/>
      <c r="AD43" s="4"/>
      <c r="AE43" s="4"/>
      <c r="AF43" s="4"/>
      <c r="AG43" s="4"/>
      <c r="AH43" s="4"/>
      <c r="AI43" s="4"/>
      <c r="AJ43" s="4"/>
    </row>
    <row r="44" spans="2:36" ht="15.75" customHeight="1">
      <c r="B44" s="132"/>
      <c r="C44" s="132"/>
      <c r="D44" s="132"/>
      <c r="E44" s="9"/>
      <c r="F44" s="10" t="s">
        <v>109</v>
      </c>
      <c r="G44" s="136">
        <v>345</v>
      </c>
      <c r="H44" s="136">
        <v>372</v>
      </c>
      <c r="I44" s="136">
        <v>114</v>
      </c>
      <c r="J44" s="136">
        <v>9</v>
      </c>
      <c r="K44" s="136">
        <v>0</v>
      </c>
      <c r="L44" s="10"/>
      <c r="M44" s="10">
        <v>0</v>
      </c>
      <c r="N44" s="11">
        <f>SUM(G44:M44)</f>
        <v>840</v>
      </c>
      <c r="O44" s="12">
        <v>352</v>
      </c>
      <c r="P44" s="12">
        <v>374</v>
      </c>
      <c r="Q44" s="12">
        <v>35</v>
      </c>
      <c r="R44" s="12">
        <v>0</v>
      </c>
      <c r="S44" s="12">
        <v>44</v>
      </c>
      <c r="T44" s="12">
        <v>0</v>
      </c>
      <c r="U44" s="11">
        <f>SUM(O44:T44)</f>
        <v>805</v>
      </c>
      <c r="V44" s="12">
        <v>327</v>
      </c>
      <c r="W44" s="12">
        <v>377</v>
      </c>
      <c r="X44" s="12">
        <v>8</v>
      </c>
      <c r="Y44" s="12">
        <v>0</v>
      </c>
      <c r="Z44" s="12">
        <f>19+17</f>
        <v>36</v>
      </c>
      <c r="AA44" s="12">
        <v>0</v>
      </c>
      <c r="AB44" s="11">
        <f>SUM(V44:AA44)</f>
        <v>748</v>
      </c>
      <c r="AC44" s="12">
        <v>350</v>
      </c>
      <c r="AD44" s="12">
        <v>367</v>
      </c>
      <c r="AE44" s="12">
        <v>5</v>
      </c>
      <c r="AF44" s="12">
        <v>0</v>
      </c>
      <c r="AG44" s="12">
        <v>0</v>
      </c>
      <c r="AH44" s="12">
        <v>28</v>
      </c>
      <c r="AI44" s="12">
        <v>0</v>
      </c>
      <c r="AJ44" s="11">
        <f>SUM(AC44:AI44)</f>
        <v>750</v>
      </c>
    </row>
    <row r="45" spans="2:36" ht="15.75" customHeight="1">
      <c r="B45" s="131" t="s">
        <v>469</v>
      </c>
      <c r="C45" s="131"/>
      <c r="D45" s="131"/>
      <c r="E45" s="9"/>
      <c r="F45" s="10" t="s">
        <v>110</v>
      </c>
      <c r="G45" s="136">
        <v>57</v>
      </c>
      <c r="H45" s="136">
        <v>18</v>
      </c>
      <c r="I45" s="136">
        <v>22</v>
      </c>
      <c r="J45" s="136">
        <v>46</v>
      </c>
      <c r="K45" s="136">
        <v>0</v>
      </c>
      <c r="L45" s="10"/>
      <c r="M45" s="10">
        <v>0</v>
      </c>
      <c r="N45" s="11">
        <f>SUM(G45:M45)</f>
        <v>143</v>
      </c>
      <c r="O45" s="12">
        <v>56</v>
      </c>
      <c r="P45" s="12">
        <v>17</v>
      </c>
      <c r="Q45" s="12">
        <v>6</v>
      </c>
      <c r="R45" s="12">
        <v>0</v>
      </c>
      <c r="S45" s="12">
        <f>2+5</f>
        <v>7</v>
      </c>
      <c r="T45" s="12">
        <v>0</v>
      </c>
      <c r="U45" s="11">
        <f>SUM(O45:T45)</f>
        <v>86</v>
      </c>
      <c r="V45" s="12">
        <v>54</v>
      </c>
      <c r="W45" s="12">
        <v>14</v>
      </c>
      <c r="X45" s="12">
        <v>7</v>
      </c>
      <c r="Y45" s="12">
        <v>0</v>
      </c>
      <c r="Z45" s="12">
        <f>3+4</f>
        <v>7</v>
      </c>
      <c r="AA45" s="12">
        <v>0</v>
      </c>
      <c r="AB45" s="11">
        <f>SUM(V45:AA45)</f>
        <v>82</v>
      </c>
      <c r="AC45" s="12">
        <v>49</v>
      </c>
      <c r="AD45" s="12">
        <v>14</v>
      </c>
      <c r="AE45" s="12">
        <v>8</v>
      </c>
      <c r="AF45" s="12">
        <v>0</v>
      </c>
      <c r="AG45" s="12">
        <v>0</v>
      </c>
      <c r="AH45" s="12">
        <v>3</v>
      </c>
      <c r="AI45" s="12">
        <v>0</v>
      </c>
      <c r="AJ45" s="11">
        <f>SUM(AC45:AI45)</f>
        <v>74</v>
      </c>
    </row>
    <row r="46" spans="2:36" ht="15.75" customHeight="1">
      <c r="B46" s="131" t="s">
        <v>469</v>
      </c>
      <c r="C46" s="131"/>
      <c r="D46" s="131"/>
      <c r="E46" s="13"/>
      <c r="F46" s="14" t="s">
        <v>111</v>
      </c>
      <c r="G46" s="137">
        <f>SUM(G44:G45)</f>
        <v>402</v>
      </c>
      <c r="H46" s="137">
        <f>SUM(H44:H45)</f>
        <v>390</v>
      </c>
      <c r="I46" s="137">
        <f>SUM(I44:I45)</f>
        <v>136</v>
      </c>
      <c r="J46" s="137">
        <f>SUM(J44:J45)</f>
        <v>55</v>
      </c>
      <c r="K46" s="137">
        <f>SUM(K44:K45)</f>
        <v>0</v>
      </c>
      <c r="L46" s="14"/>
      <c r="M46" s="14">
        <f t="shared" ref="M46:AJ46" si="11">SUM(M44:M45)</f>
        <v>0</v>
      </c>
      <c r="N46" s="18">
        <f t="shared" si="11"/>
        <v>983</v>
      </c>
      <c r="O46" s="17">
        <f t="shared" si="11"/>
        <v>408</v>
      </c>
      <c r="P46" s="17">
        <f t="shared" si="11"/>
        <v>391</v>
      </c>
      <c r="Q46" s="17">
        <f t="shared" si="11"/>
        <v>41</v>
      </c>
      <c r="R46" s="17">
        <f t="shared" si="11"/>
        <v>0</v>
      </c>
      <c r="S46" s="17">
        <f t="shared" si="11"/>
        <v>51</v>
      </c>
      <c r="T46" s="17">
        <f t="shared" si="11"/>
        <v>0</v>
      </c>
      <c r="U46" s="18">
        <f t="shared" si="11"/>
        <v>891</v>
      </c>
      <c r="V46" s="17">
        <f t="shared" si="11"/>
        <v>381</v>
      </c>
      <c r="W46" s="17">
        <f t="shared" si="11"/>
        <v>391</v>
      </c>
      <c r="X46" s="17">
        <f t="shared" si="11"/>
        <v>15</v>
      </c>
      <c r="Y46" s="17">
        <f t="shared" si="11"/>
        <v>0</v>
      </c>
      <c r="Z46" s="17">
        <f t="shared" si="11"/>
        <v>43</v>
      </c>
      <c r="AA46" s="17">
        <f t="shared" si="11"/>
        <v>0</v>
      </c>
      <c r="AB46" s="18">
        <f t="shared" si="11"/>
        <v>830</v>
      </c>
      <c r="AC46" s="17">
        <f t="shared" si="11"/>
        <v>399</v>
      </c>
      <c r="AD46" s="17">
        <f t="shared" si="11"/>
        <v>381</v>
      </c>
      <c r="AE46" s="17">
        <f t="shared" si="11"/>
        <v>13</v>
      </c>
      <c r="AF46" s="17">
        <f t="shared" si="11"/>
        <v>0</v>
      </c>
      <c r="AG46" s="17">
        <f t="shared" si="11"/>
        <v>0</v>
      </c>
      <c r="AH46" s="17">
        <f t="shared" si="11"/>
        <v>31</v>
      </c>
      <c r="AI46" s="17">
        <f t="shared" si="11"/>
        <v>0</v>
      </c>
      <c r="AJ46" s="18">
        <f t="shared" si="11"/>
        <v>824</v>
      </c>
    </row>
    <row r="47" spans="2:36" ht="15.75" customHeight="1">
      <c r="B47" s="131" t="s">
        <v>469</v>
      </c>
      <c r="C47" s="131"/>
      <c r="D47" s="131"/>
      <c r="E47" s="10"/>
      <c r="F47" s="10" t="s">
        <v>104</v>
      </c>
      <c r="G47" s="136">
        <v>272</v>
      </c>
      <c r="H47" s="136">
        <v>227</v>
      </c>
      <c r="I47" s="136">
        <v>39</v>
      </c>
      <c r="J47" s="136">
        <v>25</v>
      </c>
      <c r="K47" s="136">
        <v>0</v>
      </c>
      <c r="L47" s="10"/>
      <c r="M47" s="10">
        <v>0</v>
      </c>
      <c r="N47" s="11">
        <f>SUM(G47:M47)</f>
        <v>563</v>
      </c>
      <c r="O47" s="12">
        <v>260</v>
      </c>
      <c r="P47" s="12">
        <v>291</v>
      </c>
      <c r="Q47" s="12">
        <v>7</v>
      </c>
      <c r="R47" s="12">
        <v>0</v>
      </c>
      <c r="S47" s="12">
        <v>6</v>
      </c>
      <c r="T47" s="12">
        <v>0</v>
      </c>
      <c r="U47" s="11">
        <f>SUM(O47:T47)</f>
        <v>564</v>
      </c>
      <c r="V47" s="12">
        <v>240</v>
      </c>
      <c r="W47" s="12">
        <v>293</v>
      </c>
      <c r="X47" s="12">
        <v>10</v>
      </c>
      <c r="Y47" s="12">
        <v>0</v>
      </c>
      <c r="Z47" s="12">
        <f>0+7</f>
        <v>7</v>
      </c>
      <c r="AA47" s="12">
        <v>0</v>
      </c>
      <c r="AB47" s="11">
        <f>SUM(V47:AA47)</f>
        <v>550</v>
      </c>
      <c r="AC47" s="12">
        <v>255</v>
      </c>
      <c r="AD47" s="12">
        <v>57</v>
      </c>
      <c r="AE47" s="12">
        <v>11</v>
      </c>
      <c r="AF47" s="12">
        <v>0</v>
      </c>
      <c r="AG47" s="12">
        <v>0</v>
      </c>
      <c r="AH47" s="12">
        <v>11</v>
      </c>
      <c r="AI47" s="12">
        <v>0</v>
      </c>
      <c r="AJ47" s="11">
        <f>SUM(AC47:AI47)</f>
        <v>334</v>
      </c>
    </row>
    <row r="48" spans="2:36" ht="15.75" customHeight="1">
      <c r="B48" s="131" t="s">
        <v>469</v>
      </c>
      <c r="C48" s="131"/>
      <c r="D48" s="131"/>
      <c r="E48" s="9"/>
      <c r="F48" s="10" t="s">
        <v>105</v>
      </c>
      <c r="G48" s="136">
        <v>96</v>
      </c>
      <c r="H48" s="136">
        <v>161</v>
      </c>
      <c r="I48" s="136">
        <v>2</v>
      </c>
      <c r="J48" s="136">
        <v>26</v>
      </c>
      <c r="K48" s="136">
        <v>0</v>
      </c>
      <c r="L48" s="10"/>
      <c r="M48" s="10">
        <v>0</v>
      </c>
      <c r="N48" s="11">
        <f>SUM(G48:M48)</f>
        <v>285</v>
      </c>
      <c r="O48" s="12">
        <v>107</v>
      </c>
      <c r="P48" s="12">
        <v>53</v>
      </c>
      <c r="Q48" s="12">
        <v>1</v>
      </c>
      <c r="R48" s="12">
        <v>0</v>
      </c>
      <c r="S48" s="12">
        <v>14</v>
      </c>
      <c r="T48" s="12">
        <v>0</v>
      </c>
      <c r="U48" s="11">
        <f>SUM(O48:T48)</f>
        <v>175</v>
      </c>
      <c r="V48" s="12">
        <v>106</v>
      </c>
      <c r="W48" s="12">
        <v>52</v>
      </c>
      <c r="X48" s="12">
        <v>1</v>
      </c>
      <c r="Y48" s="12">
        <v>0</v>
      </c>
      <c r="Z48" s="12">
        <f>3+5</f>
        <v>8</v>
      </c>
      <c r="AA48" s="12">
        <v>0</v>
      </c>
      <c r="AB48" s="11">
        <f>SUM(V48:AA48)</f>
        <v>167</v>
      </c>
      <c r="AC48" s="12">
        <v>115</v>
      </c>
      <c r="AD48" s="12">
        <v>322</v>
      </c>
      <c r="AE48" s="12">
        <v>0</v>
      </c>
      <c r="AF48" s="12">
        <v>0</v>
      </c>
      <c r="AG48" s="12">
        <v>0</v>
      </c>
      <c r="AH48" s="12">
        <v>9</v>
      </c>
      <c r="AI48" s="12">
        <v>0</v>
      </c>
      <c r="AJ48" s="11">
        <f>SUM(AC48:AI48)</f>
        <v>446</v>
      </c>
    </row>
    <row r="49" spans="2:37" ht="15.75" customHeight="1">
      <c r="B49" s="131"/>
      <c r="C49" s="131"/>
      <c r="D49" s="131"/>
      <c r="E49" s="9"/>
      <c r="F49" s="10" t="s">
        <v>106</v>
      </c>
      <c r="G49" s="136">
        <v>34</v>
      </c>
      <c r="H49" s="136">
        <v>2</v>
      </c>
      <c r="I49" s="136">
        <v>95</v>
      </c>
      <c r="J49" s="136">
        <v>4</v>
      </c>
      <c r="K49" s="136">
        <v>0</v>
      </c>
      <c r="L49" s="10"/>
      <c r="M49" s="10">
        <v>0</v>
      </c>
      <c r="N49" s="11">
        <f>SUM(G49:M49)</f>
        <v>135</v>
      </c>
      <c r="O49" s="12">
        <v>41</v>
      </c>
      <c r="P49" s="12">
        <v>47</v>
      </c>
      <c r="Q49" s="12">
        <v>33</v>
      </c>
      <c r="R49" s="12">
        <v>0</v>
      </c>
      <c r="S49" s="12">
        <v>31</v>
      </c>
      <c r="T49" s="12">
        <v>0</v>
      </c>
      <c r="U49" s="11">
        <f>SUM(O49:T49)</f>
        <v>152</v>
      </c>
      <c r="V49" s="12">
        <v>35</v>
      </c>
      <c r="W49" s="12">
        <v>46</v>
      </c>
      <c r="X49" s="12">
        <v>4</v>
      </c>
      <c r="Y49" s="12">
        <v>0</v>
      </c>
      <c r="Z49" s="12">
        <f>19+9</f>
        <v>28</v>
      </c>
      <c r="AA49" s="12">
        <v>0</v>
      </c>
      <c r="AB49" s="11">
        <f>SUM(V49:AA49)</f>
        <v>113</v>
      </c>
      <c r="AC49" s="12">
        <v>29</v>
      </c>
      <c r="AD49" s="12">
        <v>2</v>
      </c>
      <c r="AE49" s="12">
        <v>2</v>
      </c>
      <c r="AF49" s="12">
        <v>0</v>
      </c>
      <c r="AG49" s="12">
        <v>0</v>
      </c>
      <c r="AH49" s="12">
        <v>11</v>
      </c>
      <c r="AI49" s="12"/>
      <c r="AJ49" s="11">
        <f>SUM(AC49:AI49)</f>
        <v>44</v>
      </c>
      <c r="AK49" s="4"/>
    </row>
    <row r="50" spans="2:37" ht="15.75" customHeight="1">
      <c r="B50" s="131"/>
      <c r="C50" s="4"/>
      <c r="D50" s="131"/>
      <c r="E50" s="9"/>
      <c r="F50" s="10" t="s">
        <v>107</v>
      </c>
      <c r="G50" s="136">
        <v>0</v>
      </c>
      <c r="H50" s="136">
        <v>0</v>
      </c>
      <c r="I50" s="136">
        <v>0</v>
      </c>
      <c r="J50" s="136">
        <v>0</v>
      </c>
      <c r="K50" s="136">
        <v>0</v>
      </c>
      <c r="L50" s="10"/>
      <c r="M50" s="10">
        <v>0</v>
      </c>
      <c r="N50" s="11">
        <f>SUM(G50:M50)</f>
        <v>0</v>
      </c>
      <c r="O50" s="12"/>
      <c r="P50" s="12"/>
      <c r="Q50" s="12"/>
      <c r="R50" s="12"/>
      <c r="S50" s="12"/>
      <c r="T50" s="17"/>
      <c r="U50" s="11">
        <f>SUM(O50:T50)</f>
        <v>0</v>
      </c>
      <c r="V50" s="12">
        <v>0</v>
      </c>
      <c r="W50" s="12">
        <v>0</v>
      </c>
      <c r="X50" s="12">
        <v>0</v>
      </c>
      <c r="Y50" s="12">
        <v>0</v>
      </c>
      <c r="Z50" s="12">
        <v>0</v>
      </c>
      <c r="AA50" s="12">
        <v>0</v>
      </c>
      <c r="AB50" s="11">
        <f>SUM(V50:AA50)</f>
        <v>0</v>
      </c>
      <c r="AC50" s="12">
        <v>0</v>
      </c>
      <c r="AD50" s="12">
        <v>0</v>
      </c>
      <c r="AE50" s="12">
        <v>0</v>
      </c>
      <c r="AF50" s="12">
        <v>0</v>
      </c>
      <c r="AG50" s="12">
        <v>0</v>
      </c>
      <c r="AH50" s="12">
        <v>0</v>
      </c>
      <c r="AI50" s="12">
        <v>0</v>
      </c>
      <c r="AJ50" s="11">
        <f>SUM(AC50:AI50)</f>
        <v>0</v>
      </c>
      <c r="AK50" s="4"/>
    </row>
    <row r="51" spans="2:37" ht="15.75" customHeight="1">
      <c r="B51" s="131"/>
      <c r="C51" s="4"/>
      <c r="D51" s="131"/>
      <c r="E51" s="285"/>
      <c r="F51" s="286"/>
      <c r="G51" s="138"/>
      <c r="H51" s="138"/>
      <c r="I51" s="138"/>
      <c r="J51" s="138"/>
      <c r="K51" s="138"/>
      <c r="L51" s="286"/>
      <c r="M51" s="286"/>
      <c r="N51" s="288"/>
      <c r="O51" s="285"/>
      <c r="P51" s="285"/>
      <c r="Q51" s="285"/>
      <c r="R51" s="285"/>
      <c r="S51" s="285"/>
      <c r="T51" s="288"/>
      <c r="U51" s="288"/>
      <c r="V51" s="285"/>
      <c r="W51" s="285"/>
      <c r="X51" s="285"/>
      <c r="Y51" s="285"/>
      <c r="Z51" s="285"/>
      <c r="AA51" s="288"/>
      <c r="AB51" s="288"/>
      <c r="AC51" s="288"/>
      <c r="AD51" s="288"/>
      <c r="AE51" s="288"/>
      <c r="AF51" s="288"/>
      <c r="AG51" s="288"/>
      <c r="AH51" s="288"/>
      <c r="AI51" s="288"/>
      <c r="AJ51" s="288"/>
      <c r="AK51" s="25"/>
    </row>
    <row r="52" spans="2:37" ht="15.75" customHeight="1">
      <c r="B52" s="131"/>
      <c r="C52" s="131" t="s">
        <v>475</v>
      </c>
      <c r="D52" s="131"/>
      <c r="E52" s="7" t="s">
        <v>112</v>
      </c>
      <c r="F52" s="8"/>
      <c r="G52" s="310"/>
      <c r="H52" s="310"/>
      <c r="I52" s="310"/>
      <c r="J52" s="310"/>
      <c r="K52" s="310"/>
      <c r="L52" s="8"/>
      <c r="M52" s="8"/>
      <c r="N52" s="4"/>
      <c r="O52" s="4"/>
      <c r="P52" s="4"/>
      <c r="Q52" s="4"/>
      <c r="R52" s="4"/>
      <c r="S52" s="4"/>
      <c r="T52" s="4"/>
      <c r="U52" s="4"/>
      <c r="V52" s="4"/>
      <c r="W52" s="4"/>
      <c r="X52" s="4"/>
      <c r="Y52" s="4"/>
      <c r="Z52" s="4"/>
      <c r="AA52" s="4"/>
      <c r="AB52" s="4"/>
      <c r="AC52" s="4"/>
      <c r="AD52" s="4"/>
      <c r="AE52" s="4"/>
      <c r="AF52" s="4"/>
      <c r="AG52" s="4"/>
      <c r="AH52" s="4"/>
      <c r="AI52" s="4"/>
      <c r="AJ52" s="4"/>
      <c r="AK52" s="4"/>
    </row>
    <row r="53" spans="2:37" ht="15.75" customHeight="1">
      <c r="B53" s="131"/>
      <c r="C53" s="131" t="s">
        <v>475</v>
      </c>
      <c r="D53" s="131"/>
      <c r="E53" s="9"/>
      <c r="F53" s="10" t="s">
        <v>113</v>
      </c>
      <c r="G53" s="139">
        <f>(G47+G38)/$G$8</f>
        <v>0.56654676258992809</v>
      </c>
      <c r="H53" s="139">
        <f>(H47+H38)/$H$8</f>
        <v>0.47904191616766467</v>
      </c>
      <c r="I53" s="139">
        <f>(I47+I38)/$I$8</f>
        <v>0.15807560137457044</v>
      </c>
      <c r="J53" s="139">
        <f>(J47+J38)/$J$8</f>
        <v>0.31325301204819278</v>
      </c>
      <c r="K53" s="139">
        <f>(K47+K38)/$K$8</f>
        <v>0</v>
      </c>
      <c r="L53" s="20"/>
      <c r="M53" s="20">
        <f>(M47+M38)/$M$8</f>
        <v>1</v>
      </c>
      <c r="N53" s="26">
        <f>(N47+N38)/$N$8</f>
        <v>0.42332896461336827</v>
      </c>
      <c r="O53" s="22">
        <f>(O47+O38)/$O$8</f>
        <v>0.51067615658362986</v>
      </c>
      <c r="P53" s="22">
        <f>(P47+P38)/$P$8</f>
        <v>0.70436507936507942</v>
      </c>
      <c r="Q53" s="22">
        <f>(Q47+Q38)/$Q$8</f>
        <v>6.3492063492063489E-2</v>
      </c>
      <c r="R53" s="22">
        <f>(R47+R38)/$R$8</f>
        <v>0.40963855421686746</v>
      </c>
      <c r="S53" s="22">
        <f>(S47+S38)/$S$8</f>
        <v>0.20987654320987653</v>
      </c>
      <c r="T53" s="22">
        <f>(T47+T38)/$T$8</f>
        <v>0.94736842105263153</v>
      </c>
      <c r="U53" s="26">
        <f>(U47+U38)/$U$8</f>
        <v>0.52290909090909088</v>
      </c>
      <c r="V53" s="22">
        <f>(V47+V38)/$V$8</f>
        <v>0.4972067039106145</v>
      </c>
      <c r="W53" s="22">
        <f>(W47+W38)/$W$8</f>
        <v>0.70974155069582501</v>
      </c>
      <c r="X53" s="22">
        <f>(X47+X38)/$X$8</f>
        <v>0.14492753623188406</v>
      </c>
      <c r="Y53" s="22">
        <f>(Y47+Y38)/$Y$8</f>
        <v>0.35365853658536583</v>
      </c>
      <c r="Z53" s="22">
        <f>(Z47+Z38)/$Z$8</f>
        <v>0.19178082191780821</v>
      </c>
      <c r="AA53" s="22">
        <f>(AA47+AA38)/$AA$8</f>
        <v>0.72</v>
      </c>
      <c r="AB53" s="26">
        <f>(AB47+AB38)/$AB$8</f>
        <v>0.53917765709852594</v>
      </c>
      <c r="AC53" s="22">
        <f>(AC47+AC38)/$AC$8</f>
        <v>0.53649635036496346</v>
      </c>
      <c r="AD53" s="22">
        <f>(AD47+AD38)/$AD$8</f>
        <v>0.12601626016260162</v>
      </c>
      <c r="AE53" s="22">
        <f>(AE47+AE38)/$AE$8</f>
        <v>0.22950819672131148</v>
      </c>
      <c r="AF53" s="22">
        <f>(AF47+AF38)/$AF$8</f>
        <v>0.5</v>
      </c>
      <c r="AG53" s="22">
        <f>(AG47+AG38)/$AG$8</f>
        <v>0.54411764705882348</v>
      </c>
      <c r="AH53" s="22">
        <f>(AH47+AH38)/$AH$8</f>
        <v>0.2</v>
      </c>
      <c r="AI53" s="22">
        <f>(AI47+AI38)/$AI$8</f>
        <v>0.45454545454545453</v>
      </c>
      <c r="AJ53" s="26">
        <f>(AJ47+AJ38)/$AJ$8</f>
        <v>0.34471803018268465</v>
      </c>
      <c r="AK53" s="8" t="s">
        <v>476</v>
      </c>
    </row>
    <row r="54" spans="2:37" ht="15.75" customHeight="1">
      <c r="B54" s="131"/>
      <c r="C54" s="131" t="s">
        <v>475</v>
      </c>
      <c r="D54" s="131"/>
      <c r="E54" s="9"/>
      <c r="F54" s="10" t="s">
        <v>114</v>
      </c>
      <c r="G54" s="139">
        <f>(G48+G39)/$G$8</f>
        <v>0.25899280575539568</v>
      </c>
      <c r="H54" s="139">
        <f>(H48+H39)/$H$8</f>
        <v>0.47704590818363274</v>
      </c>
      <c r="I54" s="139">
        <f>(I48+I39)/$I$8</f>
        <v>3.0927835051546393E-2</v>
      </c>
      <c r="J54" s="139">
        <f>(J48+J39)/$J$8</f>
        <v>0.55421686746987953</v>
      </c>
      <c r="K54" s="139">
        <f>(K48+K39)/$K$8</f>
        <v>0.51315789473684215</v>
      </c>
      <c r="L54" s="20"/>
      <c r="M54" s="20">
        <f>(M48+M39)/$M$8</f>
        <v>0</v>
      </c>
      <c r="N54" s="26">
        <f>(N48+N39)/$N$8</f>
        <v>0.31258191349934467</v>
      </c>
      <c r="O54" s="22">
        <f>(O48+O39)/$O$8</f>
        <v>0.28647686832740216</v>
      </c>
      <c r="P54" s="22">
        <f>(P48+P39)/$P$8</f>
        <v>0.13095238095238096</v>
      </c>
      <c r="Q54" s="22">
        <f>(Q48+Q39)/$Q$8</f>
        <v>8.7301587301587297E-2</v>
      </c>
      <c r="R54" s="22">
        <f>(R48+R39)/$R$8</f>
        <v>0.12048192771084337</v>
      </c>
      <c r="S54" s="22">
        <f>(S48+S39)/$S$8</f>
        <v>0.19753086419753085</v>
      </c>
      <c r="T54" s="22">
        <f>(T48+T39)/$T$8</f>
        <v>0</v>
      </c>
      <c r="U54" s="26">
        <f>(U48+U39)/$U$8</f>
        <v>0.192</v>
      </c>
      <c r="V54" s="22">
        <f>(V48+V39)/$V$8</f>
        <v>0.29050279329608941</v>
      </c>
      <c r="W54" s="22">
        <f>(W48+W39)/$W$8</f>
        <v>0.12524850894632206</v>
      </c>
      <c r="X54" s="22">
        <f>(X48+X39)/$X$8</f>
        <v>0.10144927536231885</v>
      </c>
      <c r="Y54" s="22">
        <f>(Y48+Y39)/$Y$8</f>
        <v>0.12195121951219512</v>
      </c>
      <c r="Z54" s="22">
        <f>(Z48+Z39)/$Z$8</f>
        <v>0.19178082191780821</v>
      </c>
      <c r="AA54" s="22">
        <f>(AA48+AA39)/$AA$8</f>
        <v>0</v>
      </c>
      <c r="AB54" s="26">
        <f>(AB48+AB39)/$AB$8</f>
        <v>0.19394879751745539</v>
      </c>
      <c r="AC54" s="22">
        <f>(AC48+AC39)/$AC$8</f>
        <v>0.3029197080291971</v>
      </c>
      <c r="AD54" s="22">
        <f>(AD48+AD39)/$AD$8</f>
        <v>0.83536585365853655</v>
      </c>
      <c r="AE54" s="22">
        <f>(AE48+AE39)/$AE$8</f>
        <v>8.1967213114754092E-2</v>
      </c>
      <c r="AF54" s="22">
        <f>(AF48+AF39)/$AF$8</f>
        <v>0.5</v>
      </c>
      <c r="AG54" s="22">
        <f>(AG48+AG39)/$AG$8</f>
        <v>8.8235294117647065E-2</v>
      </c>
      <c r="AH54" s="22">
        <f>(AH48+AH39)/$AH$8</f>
        <v>0.32727272727272727</v>
      </c>
      <c r="AI54" s="22">
        <f>(AI48+AI39)/$AI$8</f>
        <v>0</v>
      </c>
      <c r="AJ54" s="26">
        <f>(AJ48+AJ39)/$AJ$8</f>
        <v>0.48212867355043687</v>
      </c>
      <c r="AK54" s="4"/>
    </row>
    <row r="55" spans="2:37" ht="15.75" customHeight="1">
      <c r="B55" s="131"/>
      <c r="C55" s="131" t="s">
        <v>475</v>
      </c>
      <c r="D55" s="131"/>
      <c r="E55" s="9"/>
      <c r="F55" s="10" t="s">
        <v>115</v>
      </c>
      <c r="G55" s="139">
        <f>(G49+G40)/$G$8</f>
        <v>0.17446043165467626</v>
      </c>
      <c r="H55" s="139">
        <f>(H49+H40)/$H$8</f>
        <v>4.3912175648702596E-2</v>
      </c>
      <c r="I55" s="139">
        <f>(I49+I40)/$I$8</f>
        <v>0.81099656357388317</v>
      </c>
      <c r="J55" s="139">
        <f>(J49+J40)/$J$8</f>
        <v>0.13253012048192772</v>
      </c>
      <c r="K55" s="139">
        <f>(K49+K40)/$K$8</f>
        <v>0.48684210526315791</v>
      </c>
      <c r="L55" s="20"/>
      <c r="M55" s="20">
        <v>0</v>
      </c>
      <c r="N55" s="26">
        <f>(N49+N40)/$N$8</f>
        <v>0.264089121887287</v>
      </c>
      <c r="O55" s="22">
        <f>(O49+O40)/$O$8</f>
        <v>0.199288256227758</v>
      </c>
      <c r="P55" s="22">
        <f>(P49+P40)/$P$8</f>
        <v>0.16468253968253968</v>
      </c>
      <c r="Q55" s="22">
        <f>(Q49+Q40)/$Q$8</f>
        <v>0.76190476190476186</v>
      </c>
      <c r="R55" s="22">
        <f>(R49+R40)/$R$8</f>
        <v>0.42168674698795183</v>
      </c>
      <c r="S55" s="22">
        <f>(S49+S40)/$S$8</f>
        <v>0.58024691358024694</v>
      </c>
      <c r="T55" s="22">
        <f>(T49+T40)/$T$8</f>
        <v>0</v>
      </c>
      <c r="U55" s="26">
        <f>(U49+U40)/$U$8</f>
        <v>0.27127272727272728</v>
      </c>
      <c r="V55" s="22">
        <f>(V49+V40)/$V$8</f>
        <v>0.21229050279329609</v>
      </c>
      <c r="W55" s="22">
        <f>(W49+W40)/$W$8</f>
        <v>0.16500994035785288</v>
      </c>
      <c r="X55" s="22">
        <f>(X49+X40)/$X$8</f>
        <v>0.6376811594202898</v>
      </c>
      <c r="Y55" s="22">
        <f>(Y49+Y40)/$Y$8</f>
        <v>0.45121951219512196</v>
      </c>
      <c r="Z55" s="22">
        <f>(Z49+Z40)/$Z$8</f>
        <v>0.61643835616438358</v>
      </c>
      <c r="AA55" s="22">
        <f>(AA49+AA40)/$AA$8</f>
        <v>0</v>
      </c>
      <c r="AB55" s="26">
        <f>(AB49+AB40)/$AB$8</f>
        <v>0.25058184639255238</v>
      </c>
      <c r="AC55" s="22">
        <f>(AC49+AC40)/$AC$8</f>
        <v>0.16058394160583941</v>
      </c>
      <c r="AD55" s="22">
        <f>(AD49+AD40)/$AD$8</f>
        <v>3.8617886178861791E-2</v>
      </c>
      <c r="AE55" s="22">
        <f>(AE49+AE40)/$AE$8</f>
        <v>0.68852459016393441</v>
      </c>
      <c r="AF55" s="22">
        <f>(AF49+AF40)/$AF$8</f>
        <v>0</v>
      </c>
      <c r="AG55" s="22">
        <f>(AG49+AG40)/$AG$8</f>
        <v>0.36764705882352944</v>
      </c>
      <c r="AH55" s="22">
        <f>(AH49+AH40)/$AH$8</f>
        <v>0.47272727272727272</v>
      </c>
      <c r="AI55" s="22">
        <f>(AI49+AI40)/$AI$8</f>
        <v>0</v>
      </c>
      <c r="AJ55" s="26">
        <f>(AJ49+AJ40)/$AJ$8</f>
        <v>0.15885623510722796</v>
      </c>
      <c r="AK55" s="4"/>
    </row>
    <row r="56" spans="2:37" ht="15.75" customHeight="1">
      <c r="B56" s="131"/>
      <c r="C56" s="131" t="s">
        <v>475</v>
      </c>
      <c r="D56" s="131"/>
      <c r="E56" s="9"/>
      <c r="F56" s="10" t="s">
        <v>116</v>
      </c>
      <c r="G56" s="139">
        <f>(G50+G41)/$G$8</f>
        <v>0</v>
      </c>
      <c r="H56" s="139">
        <f>(H50+H41)/$H$8</f>
        <v>0</v>
      </c>
      <c r="I56" s="139">
        <f>(I50+I41)/$I$8</f>
        <v>0</v>
      </c>
      <c r="J56" s="139">
        <f>(J50+J41)/$J$8</f>
        <v>0</v>
      </c>
      <c r="K56" s="139">
        <f>(K50+K41)/$K$8</f>
        <v>0</v>
      </c>
      <c r="L56" s="20"/>
      <c r="M56" s="20">
        <f>(M50+M41)/$M$8</f>
        <v>5.2631578947368418E-2</v>
      </c>
      <c r="N56" s="26">
        <f>(N50+N41)/$N$8</f>
        <v>6.5530799475753605E-4</v>
      </c>
      <c r="O56" s="22">
        <f>(O50+O41)/$O$8</f>
        <v>3.5587188612099642E-3</v>
      </c>
      <c r="P56" s="22">
        <f>(P50+P41)/$P$8</f>
        <v>0</v>
      </c>
      <c r="Q56" s="22">
        <f>(Q50+Q41)/$Q$8</f>
        <v>8.7301587301587297E-2</v>
      </c>
      <c r="R56" s="22">
        <f>(R50+R41)/$R$8</f>
        <v>4.8192771084337352E-2</v>
      </c>
      <c r="S56" s="22">
        <f>(S50+S41)/$S$8</f>
        <v>1.2345679012345678E-2</v>
      </c>
      <c r="T56" s="22">
        <f>(T50+T41)/$T$8</f>
        <v>5.2631578947368418E-2</v>
      </c>
      <c r="U56" s="26">
        <f>(U50+U41)/$U$8</f>
        <v>1.3818181818181818E-2</v>
      </c>
      <c r="V56" s="22">
        <f>(V50+V41)/$V$8</f>
        <v>0</v>
      </c>
      <c r="W56" s="22">
        <f>(W50+W41)/$W$8</f>
        <v>0</v>
      </c>
      <c r="X56" s="22">
        <f>(X50+X41)/$X$8</f>
        <v>0.11594202898550725</v>
      </c>
      <c r="Y56" s="22">
        <f>(Y50+Y41)/$Y$8</f>
        <v>7.3170731707317069E-2</v>
      </c>
      <c r="Z56" s="22">
        <f>(Z50+Z41)/$Z$8</f>
        <v>0</v>
      </c>
      <c r="AA56" s="22">
        <f>(AA50+AA41)/$AA$8</f>
        <v>0.28000000000000003</v>
      </c>
      <c r="AB56" s="26">
        <f>(AB50+AB41)/$AB$8</f>
        <v>1.6291698991466253E-2</v>
      </c>
      <c r="AC56" s="22">
        <f>(AC50+AC41)/$AC$8</f>
        <v>0</v>
      </c>
      <c r="AD56" s="22">
        <f>(AD50+AD41)/$AD$8</f>
        <v>0</v>
      </c>
      <c r="AE56" s="22">
        <f>(AE50+AE41)/$AE$8</f>
        <v>0</v>
      </c>
      <c r="AF56" s="22">
        <f>(AF50+AF41)/$AF$8</f>
        <v>0</v>
      </c>
      <c r="AG56" s="22">
        <f>(AG50+AG41)/$AG$8</f>
        <v>0</v>
      </c>
      <c r="AH56" s="22">
        <f>(AH50+AH41)/$AH$8</f>
        <v>0</v>
      </c>
      <c r="AI56" s="22">
        <f>(AI50+AI41)/$AI$8</f>
        <v>0.54545454545454541</v>
      </c>
      <c r="AJ56" s="26">
        <f>(AJ50+AJ41)/$AJ$8</f>
        <v>1.4297061159650517E-2</v>
      </c>
      <c r="AK56" s="4"/>
    </row>
    <row r="57" spans="2:37" ht="15.75" customHeight="1">
      <c r="B57" s="131"/>
      <c r="C57" s="131"/>
      <c r="D57" s="131"/>
      <c r="E57" s="285"/>
      <c r="F57" s="286"/>
      <c r="G57" s="138"/>
      <c r="H57" s="138"/>
      <c r="I57" s="138"/>
      <c r="J57" s="138"/>
      <c r="K57" s="138"/>
      <c r="L57" s="286"/>
      <c r="M57" s="286"/>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5"/>
    </row>
    <row r="58" spans="2:37" ht="15.75" customHeight="1">
      <c r="B58" s="131"/>
      <c r="C58" s="131"/>
      <c r="D58" s="131"/>
      <c r="E58" s="7" t="s">
        <v>119</v>
      </c>
      <c r="F58" s="8"/>
      <c r="G58" s="310"/>
      <c r="H58" s="310"/>
      <c r="I58" s="310"/>
      <c r="J58" s="310"/>
      <c r="K58" s="310"/>
      <c r="L58" s="8"/>
      <c r="M58" s="8"/>
      <c r="N58" s="4"/>
      <c r="O58" s="4"/>
      <c r="P58" s="4"/>
      <c r="Q58" s="4"/>
      <c r="R58" s="4"/>
      <c r="S58" s="4"/>
      <c r="T58" s="4"/>
      <c r="U58" s="4"/>
      <c r="V58" s="4"/>
      <c r="W58" s="4"/>
      <c r="X58" s="4"/>
      <c r="Y58" s="4"/>
      <c r="Z58" s="4"/>
      <c r="AA58" s="4"/>
      <c r="AB58" s="4"/>
      <c r="AC58" s="4"/>
      <c r="AD58" s="4"/>
      <c r="AE58" s="4"/>
      <c r="AF58" s="4"/>
      <c r="AG58" s="4"/>
      <c r="AH58" s="4"/>
      <c r="AI58" s="4"/>
      <c r="AJ58" s="4"/>
      <c r="AK58" s="4"/>
    </row>
    <row r="59" spans="2:37" ht="15.75" customHeight="1">
      <c r="B59" s="131"/>
      <c r="C59" s="131"/>
      <c r="D59" s="131"/>
      <c r="E59" s="9"/>
      <c r="F59" s="10" t="s">
        <v>120</v>
      </c>
      <c r="G59" s="139">
        <f>G46/G8</f>
        <v>0.7230215827338129</v>
      </c>
      <c r="H59" s="139">
        <f>H46/H8</f>
        <v>0.77844311377245512</v>
      </c>
      <c r="I59" s="139">
        <f>I46/I8</f>
        <v>0.46735395189003437</v>
      </c>
      <c r="J59" s="139">
        <f>J46/J8</f>
        <v>0.66265060240963858</v>
      </c>
      <c r="K59" s="139">
        <f>K46/K8</f>
        <v>0</v>
      </c>
      <c r="L59" s="20"/>
      <c r="M59" s="20">
        <f>M46/M8</f>
        <v>0</v>
      </c>
      <c r="N59" s="26">
        <f t="shared" ref="N59:AJ59" si="12">N46/N$8</f>
        <v>0.64416775884665789</v>
      </c>
      <c r="O59" s="22">
        <f t="shared" si="12"/>
        <v>0.72597864768683273</v>
      </c>
      <c r="P59" s="22">
        <f t="shared" si="12"/>
        <v>0.77579365079365081</v>
      </c>
      <c r="Q59" s="22">
        <f t="shared" si="12"/>
        <v>0.32539682539682541</v>
      </c>
      <c r="R59" s="22">
        <f t="shared" si="12"/>
        <v>0</v>
      </c>
      <c r="S59" s="22">
        <f t="shared" si="12"/>
        <v>0.62962962962962965</v>
      </c>
      <c r="T59" s="22">
        <f t="shared" si="12"/>
        <v>0</v>
      </c>
      <c r="U59" s="26">
        <f t="shared" si="12"/>
        <v>0.64800000000000002</v>
      </c>
      <c r="V59" s="22">
        <f t="shared" si="12"/>
        <v>0.70949720670391059</v>
      </c>
      <c r="W59" s="22">
        <f t="shared" si="12"/>
        <v>0.77733598409542748</v>
      </c>
      <c r="X59" s="22">
        <f t="shared" si="12"/>
        <v>0.21739130434782608</v>
      </c>
      <c r="Y59" s="22">
        <f t="shared" si="12"/>
        <v>0</v>
      </c>
      <c r="Z59" s="22">
        <f t="shared" si="12"/>
        <v>0.58904109589041098</v>
      </c>
      <c r="AA59" s="22">
        <f t="shared" si="12"/>
        <v>0</v>
      </c>
      <c r="AB59" s="26">
        <f t="shared" si="12"/>
        <v>0.64391000775795193</v>
      </c>
      <c r="AC59" s="22">
        <f t="shared" si="12"/>
        <v>0.72810218978102192</v>
      </c>
      <c r="AD59" s="22">
        <f t="shared" si="12"/>
        <v>0.77439024390243905</v>
      </c>
      <c r="AE59" s="22">
        <f t="shared" si="12"/>
        <v>0.21311475409836064</v>
      </c>
      <c r="AF59" s="22">
        <f t="shared" si="12"/>
        <v>0</v>
      </c>
      <c r="AG59" s="22">
        <f t="shared" si="12"/>
        <v>0</v>
      </c>
      <c r="AH59" s="22">
        <f t="shared" si="12"/>
        <v>0.5636363636363636</v>
      </c>
      <c r="AI59" s="22">
        <f t="shared" si="12"/>
        <v>0</v>
      </c>
      <c r="AJ59" s="26">
        <f t="shared" si="12"/>
        <v>0.6544876886417792</v>
      </c>
      <c r="AK59" s="4"/>
    </row>
    <row r="60" spans="2:37" ht="15.75" customHeight="1">
      <c r="B60" s="4"/>
      <c r="C60" s="4"/>
      <c r="D60" s="131"/>
      <c r="E60" s="9"/>
      <c r="F60" s="10" t="s">
        <v>121</v>
      </c>
      <c r="G60" s="139">
        <f>G37/G$8</f>
        <v>0.27697841726618705</v>
      </c>
      <c r="H60" s="139">
        <f>H37/H$8</f>
        <v>0.22155688622754491</v>
      </c>
      <c r="I60" s="139">
        <f>I37/I$8</f>
        <v>0.53264604810996563</v>
      </c>
      <c r="J60" s="139">
        <f>J37/J$8</f>
        <v>0.33734939759036142</v>
      </c>
      <c r="K60" s="139">
        <f>K37/K$8</f>
        <v>1</v>
      </c>
      <c r="L60" s="20"/>
      <c r="M60" s="20">
        <f t="shared" ref="M60:AJ60" si="13">M37/M$8</f>
        <v>1</v>
      </c>
      <c r="N60" s="26">
        <f t="shared" si="13"/>
        <v>0.35583224115334205</v>
      </c>
      <c r="O60" s="22">
        <f t="shared" si="13"/>
        <v>0.27402135231316727</v>
      </c>
      <c r="P60" s="22">
        <f t="shared" si="13"/>
        <v>0.22420634920634921</v>
      </c>
      <c r="Q60" s="22">
        <f t="shared" si="13"/>
        <v>0.67460317460317465</v>
      </c>
      <c r="R60" s="22">
        <f t="shared" si="13"/>
        <v>1</v>
      </c>
      <c r="S60" s="22">
        <f t="shared" si="13"/>
        <v>0.37037037037037035</v>
      </c>
      <c r="T60" s="22">
        <f t="shared" si="13"/>
        <v>1</v>
      </c>
      <c r="U60" s="26">
        <f t="shared" si="13"/>
        <v>0.35199999999999998</v>
      </c>
      <c r="V60" s="22">
        <f t="shared" si="13"/>
        <v>0.29050279329608941</v>
      </c>
      <c r="W60" s="22">
        <f t="shared" si="13"/>
        <v>0.22266401590457258</v>
      </c>
      <c r="X60" s="22">
        <f t="shared" si="13"/>
        <v>0.78260869565217395</v>
      </c>
      <c r="Y60" s="22">
        <f t="shared" si="13"/>
        <v>1</v>
      </c>
      <c r="Z60" s="22">
        <f t="shared" si="13"/>
        <v>0.41095890410958902</v>
      </c>
      <c r="AA60" s="22">
        <f t="shared" si="13"/>
        <v>1</v>
      </c>
      <c r="AB60" s="26">
        <f t="shared" si="13"/>
        <v>0.35608999224204813</v>
      </c>
      <c r="AC60" s="22">
        <f t="shared" si="13"/>
        <v>0.27189781021897808</v>
      </c>
      <c r="AD60" s="22">
        <f t="shared" si="13"/>
        <v>0.22560975609756098</v>
      </c>
      <c r="AE60" s="22">
        <f t="shared" si="13"/>
        <v>0.78688524590163933</v>
      </c>
      <c r="AF60" s="22">
        <f t="shared" si="13"/>
        <v>1</v>
      </c>
      <c r="AG60" s="22">
        <f t="shared" si="13"/>
        <v>1</v>
      </c>
      <c r="AH60" s="22">
        <f t="shared" si="13"/>
        <v>0.43636363636363634</v>
      </c>
      <c r="AI60" s="22">
        <f t="shared" si="13"/>
        <v>1</v>
      </c>
      <c r="AJ60" s="26">
        <f t="shared" si="13"/>
        <v>0.3455123113582208</v>
      </c>
      <c r="AK60" s="4"/>
    </row>
    <row r="61" spans="2:37" ht="15.75" customHeight="1">
      <c r="B61" s="4"/>
      <c r="C61" s="4"/>
      <c r="D61" s="131"/>
      <c r="E61" s="285"/>
      <c r="F61" s="286"/>
      <c r="G61" s="286"/>
      <c r="H61" s="286"/>
      <c r="I61" s="286"/>
      <c r="J61" s="286"/>
      <c r="K61" s="286"/>
      <c r="L61" s="286"/>
      <c r="M61" s="286"/>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5"/>
    </row>
    <row r="62" spans="2:37" ht="15.75" customHeight="1">
      <c r="B62" s="131"/>
      <c r="C62" s="131"/>
      <c r="D62" s="131"/>
      <c r="E62" s="7" t="s">
        <v>117</v>
      </c>
      <c r="F62" s="8"/>
      <c r="G62" s="8"/>
      <c r="H62" s="8"/>
      <c r="I62" s="8"/>
      <c r="J62" s="8"/>
      <c r="K62" s="8"/>
      <c r="L62" s="8"/>
      <c r="M62" s="8"/>
      <c r="N62" s="4"/>
      <c r="O62" s="4"/>
      <c r="P62" s="4"/>
      <c r="Q62" s="4"/>
      <c r="R62" s="4"/>
      <c r="S62" s="4"/>
      <c r="T62" s="4"/>
      <c r="U62" s="4"/>
      <c r="V62" s="4"/>
      <c r="W62" s="4"/>
      <c r="X62" s="4"/>
      <c r="Y62" s="4"/>
      <c r="Z62" s="4"/>
      <c r="AA62" s="4"/>
      <c r="AB62" s="4"/>
      <c r="AC62" s="4"/>
      <c r="AD62" s="4"/>
      <c r="AE62" s="4"/>
      <c r="AF62" s="4"/>
      <c r="AG62" s="4"/>
      <c r="AH62" s="4"/>
      <c r="AI62" s="4"/>
      <c r="AJ62" s="4"/>
      <c r="AK62" s="25"/>
    </row>
    <row r="63" spans="2:37" ht="15.75" customHeight="1">
      <c r="B63" s="309" t="s">
        <v>477</v>
      </c>
      <c r="C63" s="131"/>
      <c r="D63" s="131"/>
      <c r="E63" s="9"/>
      <c r="F63" s="10" t="s">
        <v>478</v>
      </c>
      <c r="G63" s="10">
        <f t="shared" ref="G63:M63" si="14">G46</f>
        <v>402</v>
      </c>
      <c r="H63" s="10">
        <f t="shared" si="14"/>
        <v>390</v>
      </c>
      <c r="I63" s="10">
        <f t="shared" si="14"/>
        <v>136</v>
      </c>
      <c r="J63" s="10">
        <f t="shared" si="14"/>
        <v>55</v>
      </c>
      <c r="K63" s="10">
        <f t="shared" si="14"/>
        <v>0</v>
      </c>
      <c r="L63" s="10">
        <f t="shared" si="14"/>
        <v>0</v>
      </c>
      <c r="M63" s="10">
        <f t="shared" si="14"/>
        <v>0</v>
      </c>
      <c r="N63" s="11">
        <f>SUM(G63:M63)</f>
        <v>983</v>
      </c>
      <c r="O63" s="38">
        <f t="shared" ref="O63:T63" si="15">O46</f>
        <v>408</v>
      </c>
      <c r="P63" s="38">
        <f t="shared" si="15"/>
        <v>391</v>
      </c>
      <c r="Q63" s="38">
        <f t="shared" si="15"/>
        <v>41</v>
      </c>
      <c r="R63" s="38">
        <f t="shared" si="15"/>
        <v>0</v>
      </c>
      <c r="S63" s="38">
        <f t="shared" si="15"/>
        <v>51</v>
      </c>
      <c r="T63" s="38">
        <f t="shared" si="15"/>
        <v>0</v>
      </c>
      <c r="U63" s="11">
        <f>SUM(O63:T63)</f>
        <v>891</v>
      </c>
      <c r="V63" s="38">
        <f t="shared" ref="V63:AA63" si="16">V46</f>
        <v>381</v>
      </c>
      <c r="W63" s="38">
        <f t="shared" si="16"/>
        <v>391</v>
      </c>
      <c r="X63" s="38">
        <f t="shared" si="16"/>
        <v>15</v>
      </c>
      <c r="Y63" s="38">
        <f t="shared" si="16"/>
        <v>0</v>
      </c>
      <c r="Z63" s="38">
        <f t="shared" si="16"/>
        <v>43</v>
      </c>
      <c r="AA63" s="38">
        <f t="shared" si="16"/>
        <v>0</v>
      </c>
      <c r="AB63" s="11">
        <f>SUM(V63:AA63)</f>
        <v>830</v>
      </c>
      <c r="AC63" s="38">
        <f t="shared" ref="AC63:AI63" si="17">AC46</f>
        <v>399</v>
      </c>
      <c r="AD63" s="38">
        <f t="shared" si="17"/>
        <v>381</v>
      </c>
      <c r="AE63" s="38">
        <f t="shared" si="17"/>
        <v>13</v>
      </c>
      <c r="AF63" s="38">
        <f t="shared" si="17"/>
        <v>0</v>
      </c>
      <c r="AG63" s="38">
        <f t="shared" si="17"/>
        <v>0</v>
      </c>
      <c r="AH63" s="38">
        <f t="shared" si="17"/>
        <v>31</v>
      </c>
      <c r="AI63" s="38">
        <f t="shared" si="17"/>
        <v>0</v>
      </c>
      <c r="AJ63" s="11">
        <f>SUM(AC63:AI63)</f>
        <v>824</v>
      </c>
      <c r="AK63" s="25"/>
    </row>
    <row r="65" spans="2:36" ht="15.75" customHeight="1">
      <c r="B65" s="131" t="s">
        <v>479</v>
      </c>
      <c r="C65" s="131"/>
      <c r="D65" s="131"/>
      <c r="E65" s="7" t="s">
        <v>122</v>
      </c>
      <c r="F65" s="8"/>
      <c r="G65" s="8"/>
      <c r="H65" s="8"/>
      <c r="I65" s="8"/>
      <c r="J65" s="8"/>
      <c r="K65" s="8"/>
      <c r="L65" s="8"/>
      <c r="M65" s="8"/>
      <c r="N65" s="4"/>
      <c r="O65" s="4"/>
      <c r="P65" s="4"/>
      <c r="Q65" s="4"/>
      <c r="R65" s="4"/>
      <c r="S65" s="4"/>
      <c r="T65" s="4"/>
      <c r="U65" s="4"/>
      <c r="V65" s="4"/>
      <c r="W65" s="4"/>
      <c r="X65" s="4"/>
      <c r="Y65" s="4"/>
      <c r="Z65" s="4"/>
      <c r="AA65" s="4"/>
      <c r="AB65" s="4"/>
      <c r="AC65" s="4"/>
      <c r="AD65" s="4"/>
      <c r="AE65" s="4"/>
      <c r="AF65" s="4"/>
      <c r="AG65" s="4"/>
      <c r="AH65" s="4"/>
      <c r="AI65" s="4"/>
      <c r="AJ65" s="4"/>
    </row>
    <row r="66" spans="2:36" ht="15.75" customHeight="1">
      <c r="B66" s="131" t="s">
        <v>479</v>
      </c>
      <c r="C66" s="131"/>
      <c r="D66" s="131"/>
      <c r="E66" s="9"/>
      <c r="F66" s="10" t="s">
        <v>123</v>
      </c>
      <c r="G66" s="133">
        <v>127</v>
      </c>
      <c r="H66" s="133">
        <v>105</v>
      </c>
      <c r="I66" s="133">
        <v>100</v>
      </c>
      <c r="J66" s="133">
        <v>6</v>
      </c>
      <c r="K66" s="133">
        <v>10</v>
      </c>
      <c r="L66" s="133"/>
      <c r="M66" s="133">
        <v>2</v>
      </c>
      <c r="N66" s="11">
        <f>SUM(G66:M66)</f>
        <v>350</v>
      </c>
      <c r="O66" s="12">
        <v>186</v>
      </c>
      <c r="P66" s="12">
        <v>147</v>
      </c>
      <c r="Q66" s="12">
        <v>21</v>
      </c>
      <c r="R66" s="12">
        <v>15</v>
      </c>
      <c r="S66" s="12">
        <v>18</v>
      </c>
      <c r="T66" s="12">
        <v>3</v>
      </c>
      <c r="U66" s="11">
        <f>SUM(O66:T66)</f>
        <v>390</v>
      </c>
      <c r="V66" s="12">
        <v>137</v>
      </c>
      <c r="W66" s="12">
        <v>117</v>
      </c>
      <c r="X66" s="12">
        <v>10</v>
      </c>
      <c r="Y66" s="12">
        <v>15</v>
      </c>
      <c r="Z66" s="12">
        <v>15</v>
      </c>
      <c r="AA66" s="12">
        <v>2</v>
      </c>
      <c r="AB66" s="11">
        <f>SUM(V66:AA66)</f>
        <v>296</v>
      </c>
      <c r="AC66" s="12">
        <f t="shared" ref="AC66:AJ66" si="18">AC49/AC$8</f>
        <v>5.2919708029197078E-2</v>
      </c>
      <c r="AD66" s="12">
        <f t="shared" si="18"/>
        <v>4.0650406504065045E-3</v>
      </c>
      <c r="AE66" s="12">
        <f t="shared" si="18"/>
        <v>3.2786885245901641E-2</v>
      </c>
      <c r="AF66" s="12">
        <f t="shared" si="18"/>
        <v>0</v>
      </c>
      <c r="AG66" s="12">
        <f t="shared" si="18"/>
        <v>0</v>
      </c>
      <c r="AH66" s="12">
        <f t="shared" si="18"/>
        <v>0.2</v>
      </c>
      <c r="AI66" s="12">
        <f t="shared" si="18"/>
        <v>0</v>
      </c>
      <c r="AJ66" s="11">
        <f t="shared" si="18"/>
        <v>3.4948371723590152E-2</v>
      </c>
    </row>
    <row r="67" spans="2:36" ht="15.75" customHeight="1">
      <c r="B67" s="131" t="s">
        <v>479</v>
      </c>
      <c r="C67" s="131"/>
      <c r="D67" s="131"/>
      <c r="E67" s="9"/>
      <c r="F67" s="10" t="s">
        <v>124</v>
      </c>
      <c r="G67" s="133">
        <v>376</v>
      </c>
      <c r="H67" s="133">
        <v>335</v>
      </c>
      <c r="I67" s="133">
        <v>179</v>
      </c>
      <c r="J67" s="133">
        <v>61</v>
      </c>
      <c r="K67" s="133">
        <v>59</v>
      </c>
      <c r="L67" s="133"/>
      <c r="M67" s="133">
        <v>12</v>
      </c>
      <c r="N67" s="11">
        <f>SUM(G67:M67)</f>
        <v>1022</v>
      </c>
      <c r="O67" s="12">
        <v>327</v>
      </c>
      <c r="P67" s="12">
        <v>310</v>
      </c>
      <c r="Q67" s="12">
        <f>86+3</f>
        <v>89</v>
      </c>
      <c r="R67" s="12">
        <f>55+1</f>
        <v>56</v>
      </c>
      <c r="S67" s="12">
        <v>47</v>
      </c>
      <c r="T67" s="12">
        <v>9</v>
      </c>
      <c r="U67" s="11">
        <f>SUM(O67:T67)</f>
        <v>838</v>
      </c>
      <c r="V67" s="12">
        <v>340</v>
      </c>
      <c r="W67" s="12">
        <v>330</v>
      </c>
      <c r="X67" s="12">
        <f>45+3</f>
        <v>48</v>
      </c>
      <c r="Y67" s="12">
        <v>55</v>
      </c>
      <c r="Z67" s="12">
        <v>43</v>
      </c>
      <c r="AA67" s="12">
        <v>12</v>
      </c>
      <c r="AB67" s="11">
        <f>SUM(V67:AA67)</f>
        <v>828</v>
      </c>
      <c r="AC67" s="12">
        <f t="shared" ref="AC67:AJ67" si="19">AC40/AC$8</f>
        <v>0.10766423357664233</v>
      </c>
      <c r="AD67" s="12">
        <f t="shared" si="19"/>
        <v>3.4552845528455285E-2</v>
      </c>
      <c r="AE67" s="12">
        <f t="shared" si="19"/>
        <v>0.65573770491803274</v>
      </c>
      <c r="AF67" s="12">
        <f t="shared" si="19"/>
        <v>0</v>
      </c>
      <c r="AG67" s="12">
        <f t="shared" si="19"/>
        <v>0.36764705882352944</v>
      </c>
      <c r="AH67" s="12">
        <f t="shared" si="19"/>
        <v>0.27272727272727271</v>
      </c>
      <c r="AI67" s="12">
        <f t="shared" si="19"/>
        <v>0</v>
      </c>
      <c r="AJ67" s="11">
        <f t="shared" si="19"/>
        <v>0.12390786338363781</v>
      </c>
    </row>
    <row r="68" spans="2:36" ht="15.75" customHeight="1">
      <c r="B68" s="131" t="s">
        <v>479</v>
      </c>
      <c r="C68" s="131"/>
      <c r="D68" s="131"/>
      <c r="E68" s="9"/>
      <c r="F68" s="10" t="s">
        <v>125</v>
      </c>
      <c r="G68" s="133">
        <v>53</v>
      </c>
      <c r="H68" s="133">
        <v>61</v>
      </c>
      <c r="I68" s="133">
        <v>12</v>
      </c>
      <c r="J68" s="133">
        <v>16</v>
      </c>
      <c r="K68" s="133">
        <v>8</v>
      </c>
      <c r="L68" s="133"/>
      <c r="M68" s="133">
        <v>5</v>
      </c>
      <c r="N68" s="11">
        <f>SUM(G68:M68)</f>
        <v>155</v>
      </c>
      <c r="O68" s="12">
        <f>47+2</f>
        <v>49</v>
      </c>
      <c r="P68" s="12">
        <v>47</v>
      </c>
      <c r="Q68" s="12">
        <f>8+8</f>
        <v>16</v>
      </c>
      <c r="R68" s="12">
        <f>9+3</f>
        <v>12</v>
      </c>
      <c r="S68" s="12">
        <f>15+1</f>
        <v>16</v>
      </c>
      <c r="T68" s="12">
        <v>7</v>
      </c>
      <c r="U68" s="11">
        <f>SUM(O68:T68)</f>
        <v>147</v>
      </c>
      <c r="V68" s="12">
        <v>60</v>
      </c>
      <c r="W68" s="12">
        <v>56</v>
      </c>
      <c r="X68" s="12">
        <f>6+5</f>
        <v>11</v>
      </c>
      <c r="Y68" s="12">
        <v>12</v>
      </c>
      <c r="Z68" s="12">
        <v>15</v>
      </c>
      <c r="AA68" s="12">
        <v>11</v>
      </c>
      <c r="AB68" s="11">
        <f>SUM(V68:AA68)</f>
        <v>165</v>
      </c>
      <c r="AC68" s="12"/>
      <c r="AD68" s="12"/>
      <c r="AE68" s="12"/>
      <c r="AF68" s="12"/>
      <c r="AG68" s="12"/>
      <c r="AH68" s="12"/>
      <c r="AI68" s="12"/>
      <c r="AJ68" s="11">
        <v>0</v>
      </c>
    </row>
    <row r="69" spans="2:36" ht="15.75" customHeight="1">
      <c r="B69" s="131"/>
      <c r="C69" s="131"/>
      <c r="D69" s="131"/>
      <c r="E69" s="23"/>
      <c r="F69" s="8"/>
      <c r="G69" s="8"/>
      <c r="H69" s="8"/>
      <c r="I69" s="8"/>
      <c r="J69" s="8"/>
      <c r="K69" s="8"/>
      <c r="L69" s="8"/>
      <c r="M69" s="8"/>
      <c r="N69" s="25"/>
      <c r="O69" s="5"/>
      <c r="P69" s="5"/>
      <c r="Q69" s="5"/>
      <c r="R69" s="5"/>
      <c r="S69" s="5"/>
      <c r="T69" s="25"/>
      <c r="U69" s="25"/>
      <c r="V69" s="25"/>
      <c r="W69" s="25"/>
      <c r="X69" s="25"/>
      <c r="Y69" s="25"/>
      <c r="Z69" s="25"/>
      <c r="AA69" s="25"/>
      <c r="AB69" s="25"/>
      <c r="AC69" s="25"/>
      <c r="AD69" s="25"/>
      <c r="AE69" s="25"/>
      <c r="AF69" s="25"/>
      <c r="AG69" s="25"/>
      <c r="AH69" s="25"/>
      <c r="AI69" s="25"/>
      <c r="AJ69" s="25"/>
    </row>
    <row r="70" spans="2:36" ht="15.75" customHeight="1">
      <c r="B70" s="131"/>
      <c r="C70" s="131"/>
      <c r="D70" s="131"/>
      <c r="E70" s="285"/>
      <c r="F70" s="286"/>
      <c r="G70" s="286"/>
      <c r="H70" s="286"/>
      <c r="I70" s="286"/>
      <c r="J70" s="286"/>
      <c r="K70" s="286"/>
      <c r="L70" s="286"/>
      <c r="M70" s="286"/>
      <c r="N70" s="288"/>
      <c r="O70" s="286"/>
      <c r="P70" s="286"/>
      <c r="Q70" s="286"/>
      <c r="R70" s="286"/>
      <c r="S70" s="286"/>
      <c r="T70" s="288"/>
      <c r="U70" s="288"/>
      <c r="V70" s="288"/>
      <c r="W70" s="288"/>
      <c r="X70" s="288"/>
      <c r="Y70" s="288"/>
      <c r="Z70" s="288"/>
      <c r="AA70" s="288"/>
      <c r="AB70" s="288"/>
      <c r="AC70" s="288"/>
      <c r="AD70" s="288"/>
      <c r="AE70" s="288"/>
      <c r="AF70" s="288"/>
      <c r="AG70" s="288"/>
      <c r="AH70" s="288"/>
      <c r="AI70" s="288"/>
      <c r="AJ70" s="288"/>
    </row>
    <row r="71" spans="2:36" ht="15.75" customHeight="1">
      <c r="B71" s="131"/>
      <c r="C71" s="131"/>
      <c r="D71" s="131"/>
      <c r="E71" s="7" t="s">
        <v>126</v>
      </c>
      <c r="F71" s="8"/>
      <c r="G71" s="8"/>
      <c r="H71" s="8"/>
      <c r="I71" s="8"/>
      <c r="J71" s="8"/>
      <c r="K71" s="8"/>
      <c r="L71" s="8"/>
      <c r="M71" s="8"/>
      <c r="N71" s="4"/>
      <c r="O71" s="4"/>
      <c r="P71" s="4"/>
      <c r="Q71" s="4"/>
      <c r="R71" s="4"/>
      <c r="S71" s="4"/>
      <c r="T71" s="4"/>
      <c r="U71" s="4"/>
      <c r="V71" s="4"/>
      <c r="W71" s="4"/>
      <c r="X71" s="4"/>
      <c r="Y71" s="4"/>
      <c r="Z71" s="4"/>
      <c r="AA71" s="4"/>
      <c r="AB71" s="4"/>
      <c r="AC71" s="4"/>
      <c r="AD71" s="4"/>
      <c r="AE71" s="4"/>
      <c r="AF71" s="4"/>
      <c r="AG71" s="4"/>
      <c r="AH71" s="4"/>
      <c r="AI71" s="4"/>
      <c r="AJ71" s="4"/>
    </row>
    <row r="72" spans="2:36" ht="15.75" customHeight="1">
      <c r="B72" s="4"/>
      <c r="C72" s="19"/>
      <c r="D72" s="132"/>
      <c r="E72" s="9"/>
      <c r="F72" s="10" t="s">
        <v>127</v>
      </c>
      <c r="G72" s="133">
        <v>81</v>
      </c>
      <c r="H72" s="133">
        <v>57</v>
      </c>
      <c r="I72" s="133">
        <v>80</v>
      </c>
      <c r="J72" s="133">
        <v>12</v>
      </c>
      <c r="K72" s="133">
        <v>31</v>
      </c>
      <c r="L72" s="10"/>
      <c r="M72" s="10">
        <v>7</v>
      </c>
      <c r="N72" s="11">
        <f>SUM(G72:M72)</f>
        <v>268</v>
      </c>
      <c r="O72" s="36">
        <f>81+O78</f>
        <v>83</v>
      </c>
      <c r="P72" s="36">
        <v>60</v>
      </c>
      <c r="Q72" s="36">
        <f>33+Q78</f>
        <v>40</v>
      </c>
      <c r="R72" s="36">
        <f>34+R78</f>
        <v>38</v>
      </c>
      <c r="S72" s="36">
        <f>13+S78</f>
        <v>14</v>
      </c>
      <c r="T72" s="12">
        <v>7</v>
      </c>
      <c r="U72" s="11">
        <f>SUM(O72:T72)</f>
        <v>242</v>
      </c>
      <c r="V72" s="36">
        <v>85</v>
      </c>
      <c r="W72" s="36">
        <v>54</v>
      </c>
      <c r="X72" s="36">
        <v>19</v>
      </c>
      <c r="Y72" s="36">
        <v>35</v>
      </c>
      <c r="Z72" s="36">
        <f>4+5</f>
        <v>9</v>
      </c>
      <c r="AA72" s="12">
        <f>5+7</f>
        <v>12</v>
      </c>
      <c r="AB72" s="11">
        <f>SUM(V72:AA72)</f>
        <v>214</v>
      </c>
      <c r="AC72" s="12">
        <v>9</v>
      </c>
      <c r="AD72" s="12">
        <v>11</v>
      </c>
      <c r="AE72" s="12">
        <v>7</v>
      </c>
      <c r="AF72" s="12">
        <v>2</v>
      </c>
      <c r="AG72" s="12">
        <v>9</v>
      </c>
      <c r="AH72" s="12">
        <v>5</v>
      </c>
      <c r="AI72" s="12">
        <v>21</v>
      </c>
      <c r="AJ72" s="11">
        <f>SUM(AC72:AI72)</f>
        <v>64</v>
      </c>
    </row>
    <row r="73" spans="2:36" ht="15.75" customHeight="1">
      <c r="B73" s="4"/>
      <c r="C73" s="131"/>
      <c r="D73" s="131"/>
      <c r="E73" s="9"/>
      <c r="F73" s="10" t="s">
        <v>128</v>
      </c>
      <c r="G73" s="133">
        <v>14</v>
      </c>
      <c r="H73" s="133">
        <v>10</v>
      </c>
      <c r="I73" s="133">
        <v>11</v>
      </c>
      <c r="J73" s="133">
        <v>5</v>
      </c>
      <c r="K73" s="133">
        <v>16</v>
      </c>
      <c r="L73" s="10"/>
      <c r="M73" s="10">
        <v>5</v>
      </c>
      <c r="N73" s="11">
        <f>SUM(G73:M73)</f>
        <v>61</v>
      </c>
      <c r="O73" s="36">
        <v>14</v>
      </c>
      <c r="P73" s="36">
        <v>11</v>
      </c>
      <c r="Q73" s="36">
        <v>8</v>
      </c>
      <c r="R73" s="36">
        <v>15</v>
      </c>
      <c r="S73" s="36">
        <v>5</v>
      </c>
      <c r="T73" s="12">
        <v>5</v>
      </c>
      <c r="U73" s="11">
        <f>SUM(O73:T73)</f>
        <v>58</v>
      </c>
      <c r="V73" s="36">
        <v>12</v>
      </c>
      <c r="W73" s="36">
        <v>10</v>
      </c>
      <c r="X73" s="36">
        <v>5</v>
      </c>
      <c r="Y73" s="36">
        <v>14</v>
      </c>
      <c r="Z73" s="36">
        <f>3+0</f>
        <v>3</v>
      </c>
      <c r="AA73" s="12">
        <v>5</v>
      </c>
      <c r="AB73" s="11">
        <f>SUM(V73:AA73)</f>
        <v>49</v>
      </c>
      <c r="AC73" s="12">
        <v>1</v>
      </c>
      <c r="AD73" s="12">
        <v>4</v>
      </c>
      <c r="AE73" s="12">
        <v>1</v>
      </c>
      <c r="AF73" s="12">
        <v>0</v>
      </c>
      <c r="AG73" s="12">
        <v>1</v>
      </c>
      <c r="AH73" s="12">
        <v>4</v>
      </c>
      <c r="AI73" s="12">
        <v>3</v>
      </c>
      <c r="AJ73" s="11">
        <f>SUM(AC73:AI73)</f>
        <v>14</v>
      </c>
    </row>
    <row r="74" spans="2:36" ht="15.75" customHeight="1">
      <c r="B74" s="132" t="s">
        <v>480</v>
      </c>
      <c r="C74" s="131"/>
      <c r="D74" s="131"/>
      <c r="E74" s="13"/>
      <c r="F74" s="14" t="s">
        <v>129</v>
      </c>
      <c r="G74" s="140">
        <f t="shared" ref="G74:AJ74" si="20">SUM(G72:G73)</f>
        <v>95</v>
      </c>
      <c r="H74" s="140">
        <f t="shared" si="20"/>
        <v>67</v>
      </c>
      <c r="I74" s="140">
        <f t="shared" si="20"/>
        <v>91</v>
      </c>
      <c r="J74" s="140">
        <f t="shared" si="20"/>
        <v>17</v>
      </c>
      <c r="K74" s="140">
        <f t="shared" si="20"/>
        <v>47</v>
      </c>
      <c r="L74" s="37">
        <f t="shared" si="20"/>
        <v>0</v>
      </c>
      <c r="M74" s="37">
        <f t="shared" si="20"/>
        <v>12</v>
      </c>
      <c r="N74" s="18">
        <f t="shared" si="20"/>
        <v>329</v>
      </c>
      <c r="O74" s="37">
        <f t="shared" si="20"/>
        <v>97</v>
      </c>
      <c r="P74" s="37">
        <f t="shared" si="20"/>
        <v>71</v>
      </c>
      <c r="Q74" s="37">
        <f t="shared" si="20"/>
        <v>48</v>
      </c>
      <c r="R74" s="37">
        <f t="shared" si="20"/>
        <v>53</v>
      </c>
      <c r="S74" s="37">
        <f t="shared" si="20"/>
        <v>19</v>
      </c>
      <c r="T74" s="37">
        <f t="shared" si="20"/>
        <v>12</v>
      </c>
      <c r="U74" s="18">
        <f t="shared" si="20"/>
        <v>300</v>
      </c>
      <c r="V74" s="37">
        <f t="shared" si="20"/>
        <v>97</v>
      </c>
      <c r="W74" s="37">
        <f t="shared" si="20"/>
        <v>64</v>
      </c>
      <c r="X74" s="37">
        <f t="shared" si="20"/>
        <v>24</v>
      </c>
      <c r="Y74" s="37">
        <f t="shared" si="20"/>
        <v>49</v>
      </c>
      <c r="Z74" s="37">
        <f t="shared" si="20"/>
        <v>12</v>
      </c>
      <c r="AA74" s="37">
        <f t="shared" si="20"/>
        <v>17</v>
      </c>
      <c r="AB74" s="18">
        <f t="shared" si="20"/>
        <v>263</v>
      </c>
      <c r="AC74" s="17">
        <f t="shared" si="20"/>
        <v>10</v>
      </c>
      <c r="AD74" s="17">
        <f t="shared" si="20"/>
        <v>15</v>
      </c>
      <c r="AE74" s="17">
        <f t="shared" si="20"/>
        <v>8</v>
      </c>
      <c r="AF74" s="17">
        <f t="shared" si="20"/>
        <v>2</v>
      </c>
      <c r="AG74" s="17">
        <f t="shared" si="20"/>
        <v>10</v>
      </c>
      <c r="AH74" s="17">
        <f t="shared" si="20"/>
        <v>9</v>
      </c>
      <c r="AI74" s="17">
        <f t="shared" si="20"/>
        <v>24</v>
      </c>
      <c r="AJ74" s="18">
        <f t="shared" si="20"/>
        <v>78</v>
      </c>
    </row>
    <row r="75" spans="2:36" ht="15.75" customHeight="1">
      <c r="B75" s="131" t="s">
        <v>480</v>
      </c>
      <c r="C75" s="131"/>
      <c r="D75" s="131"/>
      <c r="E75" s="9"/>
      <c r="F75" s="10" t="s">
        <v>104</v>
      </c>
      <c r="G75" s="10">
        <v>0</v>
      </c>
      <c r="H75" s="10">
        <v>0</v>
      </c>
      <c r="I75" s="10">
        <v>0</v>
      </c>
      <c r="J75" s="10">
        <v>0</v>
      </c>
      <c r="K75" s="10">
        <v>0</v>
      </c>
      <c r="L75" s="10"/>
      <c r="M75" s="10">
        <v>11</v>
      </c>
      <c r="N75" s="11">
        <f>SUM(G75:M75)</f>
        <v>11</v>
      </c>
      <c r="O75" s="38">
        <v>16</v>
      </c>
      <c r="P75" s="38">
        <v>36</v>
      </c>
      <c r="Q75" s="38">
        <v>0</v>
      </c>
      <c r="R75" s="38">
        <v>13</v>
      </c>
      <c r="S75" s="38">
        <v>8</v>
      </c>
      <c r="T75" s="38">
        <v>5</v>
      </c>
      <c r="U75" s="11">
        <f>SUM(O75:T75)</f>
        <v>78</v>
      </c>
      <c r="V75" s="36">
        <v>16</v>
      </c>
      <c r="W75" s="36">
        <v>33</v>
      </c>
      <c r="X75" s="36">
        <v>0</v>
      </c>
      <c r="Y75" s="36">
        <v>4</v>
      </c>
      <c r="Z75" s="36">
        <f>3+0</f>
        <v>3</v>
      </c>
      <c r="AA75" s="12">
        <v>0</v>
      </c>
      <c r="AB75" s="11">
        <f>SUM(V75:AA75)</f>
        <v>56</v>
      </c>
      <c r="AC75" s="12" t="s">
        <v>93</v>
      </c>
      <c r="AD75" s="12" t="s">
        <v>93</v>
      </c>
      <c r="AE75" s="12" t="s">
        <v>93</v>
      </c>
      <c r="AF75" s="12" t="s">
        <v>93</v>
      </c>
      <c r="AG75" s="12" t="s">
        <v>93</v>
      </c>
      <c r="AH75" s="12" t="s">
        <v>93</v>
      </c>
      <c r="AI75" s="12" t="s">
        <v>93</v>
      </c>
      <c r="AJ75" s="11">
        <f>SUM(AC75:AI75)</f>
        <v>0</v>
      </c>
    </row>
    <row r="76" spans="2:36" ht="15.75" customHeight="1">
      <c r="B76" s="131" t="s">
        <v>480</v>
      </c>
      <c r="C76" s="131"/>
      <c r="D76" s="131"/>
      <c r="E76" s="9"/>
      <c r="F76" s="10" t="s">
        <v>105</v>
      </c>
      <c r="G76" s="10">
        <v>2</v>
      </c>
      <c r="H76" s="10">
        <v>2</v>
      </c>
      <c r="I76" s="10">
        <v>0</v>
      </c>
      <c r="J76" s="10">
        <v>0</v>
      </c>
      <c r="K76" s="10">
        <v>0</v>
      </c>
      <c r="L76" s="10"/>
      <c r="M76" s="10">
        <v>0</v>
      </c>
      <c r="N76" s="11">
        <f>SUM(G76:M76)</f>
        <v>4</v>
      </c>
      <c r="O76" s="38">
        <v>37</v>
      </c>
      <c r="P76" s="38">
        <v>6</v>
      </c>
      <c r="Q76" s="38">
        <v>2</v>
      </c>
      <c r="R76" s="38">
        <v>8</v>
      </c>
      <c r="S76" s="38">
        <v>1</v>
      </c>
      <c r="T76" s="38">
        <v>6</v>
      </c>
      <c r="U76" s="11">
        <f>SUM(O76:T76)</f>
        <v>60</v>
      </c>
      <c r="V76" s="36">
        <v>33</v>
      </c>
      <c r="W76" s="36">
        <v>4</v>
      </c>
      <c r="X76" s="36">
        <v>0</v>
      </c>
      <c r="Y76" s="36">
        <v>13</v>
      </c>
      <c r="Z76" s="36">
        <f>0+3</f>
        <v>3</v>
      </c>
      <c r="AA76" s="12">
        <v>10</v>
      </c>
      <c r="AB76" s="11">
        <f>SUM(V76:AA76)</f>
        <v>63</v>
      </c>
      <c r="AC76" s="12">
        <v>5</v>
      </c>
      <c r="AD76" s="12">
        <v>13</v>
      </c>
      <c r="AE76" s="12">
        <v>0</v>
      </c>
      <c r="AF76" s="12">
        <v>2</v>
      </c>
      <c r="AG76" s="12">
        <v>7</v>
      </c>
      <c r="AH76" s="12">
        <v>4</v>
      </c>
      <c r="AI76" s="12">
        <v>6</v>
      </c>
      <c r="AJ76" s="11">
        <f>SUM(AC76:AI76)</f>
        <v>37</v>
      </c>
    </row>
    <row r="77" spans="2:36" ht="15.75" customHeight="1">
      <c r="B77" s="131"/>
      <c r="C77" s="131"/>
      <c r="D77" s="131"/>
      <c r="E77" s="9"/>
      <c r="F77" s="10" t="s">
        <v>106</v>
      </c>
      <c r="G77" s="10">
        <v>1</v>
      </c>
      <c r="H77" s="10">
        <v>0</v>
      </c>
      <c r="I77" s="10">
        <v>1</v>
      </c>
      <c r="J77" s="10">
        <v>1</v>
      </c>
      <c r="K77" s="10">
        <v>9</v>
      </c>
      <c r="L77" s="10"/>
      <c r="M77" s="10">
        <v>0</v>
      </c>
      <c r="N77" s="11">
        <f>SUM(G77:M77)</f>
        <v>12</v>
      </c>
      <c r="O77" s="38">
        <v>42</v>
      </c>
      <c r="P77" s="38">
        <v>29</v>
      </c>
      <c r="Q77" s="38">
        <v>39</v>
      </c>
      <c r="R77" s="38">
        <v>28</v>
      </c>
      <c r="S77" s="38">
        <v>9</v>
      </c>
      <c r="T77" s="38">
        <v>0</v>
      </c>
      <c r="U77" s="11">
        <f>SUM(O77:T77)</f>
        <v>147</v>
      </c>
      <c r="V77" s="36">
        <v>48</v>
      </c>
      <c r="W77" s="36">
        <v>27</v>
      </c>
      <c r="X77" s="36">
        <v>22</v>
      </c>
      <c r="Y77" s="36">
        <v>28</v>
      </c>
      <c r="Z77" s="36">
        <f>4+2</f>
        <v>6</v>
      </c>
      <c r="AA77" s="12">
        <v>0</v>
      </c>
      <c r="AB77" s="11">
        <f>SUM(V77:AA77)</f>
        <v>131</v>
      </c>
      <c r="AC77" s="12">
        <v>5</v>
      </c>
      <c r="AD77" s="12">
        <v>2</v>
      </c>
      <c r="AE77" s="12">
        <v>8</v>
      </c>
      <c r="AF77" s="12">
        <v>0</v>
      </c>
      <c r="AG77" s="12">
        <v>3</v>
      </c>
      <c r="AH77" s="12">
        <v>5</v>
      </c>
      <c r="AI77" s="12">
        <v>0</v>
      </c>
      <c r="AJ77" s="11">
        <f>SUM(AC77:AI77)</f>
        <v>23</v>
      </c>
    </row>
    <row r="78" spans="2:36" ht="15.75" customHeight="1">
      <c r="B78" s="131"/>
      <c r="C78" s="131"/>
      <c r="D78" s="131"/>
      <c r="E78" s="9"/>
      <c r="F78" s="10" t="s">
        <v>107</v>
      </c>
      <c r="G78" s="10">
        <v>0</v>
      </c>
      <c r="H78" s="10">
        <v>1</v>
      </c>
      <c r="I78" s="10">
        <v>2</v>
      </c>
      <c r="J78" s="10">
        <v>0</v>
      </c>
      <c r="K78" s="10">
        <v>0</v>
      </c>
      <c r="L78" s="10"/>
      <c r="M78" s="10">
        <v>1</v>
      </c>
      <c r="N78" s="11">
        <f>SUM(G78:M78)</f>
        <v>4</v>
      </c>
      <c r="O78" s="9">
        <v>2</v>
      </c>
      <c r="P78" s="9">
        <v>0</v>
      </c>
      <c r="Q78" s="9">
        <v>7</v>
      </c>
      <c r="R78" s="9">
        <v>4</v>
      </c>
      <c r="S78" s="9">
        <v>1</v>
      </c>
      <c r="T78" s="38">
        <v>1</v>
      </c>
      <c r="U78" s="11">
        <f>SUM(O78:T78)</f>
        <v>15</v>
      </c>
      <c r="V78" s="36">
        <v>0</v>
      </c>
      <c r="W78" s="36">
        <v>0</v>
      </c>
      <c r="X78" s="36">
        <v>2</v>
      </c>
      <c r="Y78" s="36">
        <v>4</v>
      </c>
      <c r="Z78" s="36">
        <v>0</v>
      </c>
      <c r="AA78" s="12">
        <v>7</v>
      </c>
      <c r="AB78" s="11">
        <f>SUM(V78:AA78)</f>
        <v>13</v>
      </c>
      <c r="AC78" s="12">
        <v>0</v>
      </c>
      <c r="AD78" s="12">
        <v>0</v>
      </c>
      <c r="AE78" s="12">
        <v>0</v>
      </c>
      <c r="AF78" s="12">
        <v>0</v>
      </c>
      <c r="AG78" s="12">
        <v>0</v>
      </c>
      <c r="AH78" s="12">
        <v>0</v>
      </c>
      <c r="AI78" s="12">
        <v>18</v>
      </c>
      <c r="AJ78" s="11">
        <f>SUM(AC78:AI78)</f>
        <v>18</v>
      </c>
    </row>
    <row r="79" spans="2:36" ht="15.75" customHeight="1">
      <c r="B79" s="131"/>
      <c r="C79" s="131"/>
      <c r="D79" s="131"/>
      <c r="E79" s="9"/>
      <c r="F79" s="10" t="s">
        <v>130</v>
      </c>
      <c r="G79" s="20">
        <f t="shared" ref="G79:AB79" si="21">(G75+G76)/G74</f>
        <v>2.1052631578947368E-2</v>
      </c>
      <c r="H79" s="20">
        <f t="shared" si="21"/>
        <v>2.9850746268656716E-2</v>
      </c>
      <c r="I79" s="20">
        <f t="shared" si="21"/>
        <v>0</v>
      </c>
      <c r="J79" s="20">
        <f t="shared" si="21"/>
        <v>0</v>
      </c>
      <c r="K79" s="20">
        <f t="shared" si="21"/>
        <v>0</v>
      </c>
      <c r="L79" s="20" t="e">
        <f t="shared" si="21"/>
        <v>#DIV/0!</v>
      </c>
      <c r="M79" s="20">
        <f t="shared" si="21"/>
        <v>0.91666666666666663</v>
      </c>
      <c r="N79" s="26">
        <f t="shared" si="21"/>
        <v>4.5592705167173252E-2</v>
      </c>
      <c r="O79" s="22">
        <f t="shared" si="21"/>
        <v>0.54639175257731953</v>
      </c>
      <c r="P79" s="22">
        <f t="shared" si="21"/>
        <v>0.59154929577464788</v>
      </c>
      <c r="Q79" s="22">
        <f t="shared" si="21"/>
        <v>4.1666666666666664E-2</v>
      </c>
      <c r="R79" s="22">
        <f t="shared" si="21"/>
        <v>0.39622641509433965</v>
      </c>
      <c r="S79" s="22">
        <f t="shared" si="21"/>
        <v>0.47368421052631576</v>
      </c>
      <c r="T79" s="22">
        <f t="shared" si="21"/>
        <v>0.91666666666666663</v>
      </c>
      <c r="U79" s="26">
        <f t="shared" si="21"/>
        <v>0.46</v>
      </c>
      <c r="V79" s="22">
        <f t="shared" si="21"/>
        <v>0.50515463917525771</v>
      </c>
      <c r="W79" s="22">
        <f t="shared" si="21"/>
        <v>0.578125</v>
      </c>
      <c r="X79" s="22">
        <f t="shared" si="21"/>
        <v>0</v>
      </c>
      <c r="Y79" s="22">
        <f t="shared" si="21"/>
        <v>0.34693877551020408</v>
      </c>
      <c r="Z79" s="22">
        <f t="shared" si="21"/>
        <v>0.5</v>
      </c>
      <c r="AA79" s="22">
        <f t="shared" si="21"/>
        <v>0.58823529411764708</v>
      </c>
      <c r="AB79" s="26">
        <f t="shared" si="21"/>
        <v>0.45247148288973382</v>
      </c>
      <c r="AC79" s="22">
        <f t="shared" ref="AC79:AI79" si="22">(AC76)/AC74</f>
        <v>0.5</v>
      </c>
      <c r="AD79" s="22">
        <f t="shared" si="22"/>
        <v>0.8666666666666667</v>
      </c>
      <c r="AE79" s="22">
        <f t="shared" si="22"/>
        <v>0</v>
      </c>
      <c r="AF79" s="22">
        <f t="shared" si="22"/>
        <v>1</v>
      </c>
      <c r="AG79" s="22">
        <f t="shared" si="22"/>
        <v>0.7</v>
      </c>
      <c r="AH79" s="22">
        <f t="shared" si="22"/>
        <v>0.44444444444444442</v>
      </c>
      <c r="AI79" s="22">
        <f t="shared" si="22"/>
        <v>0.25</v>
      </c>
      <c r="AJ79" s="26">
        <f>(AJ75+AJ76)/AJ74</f>
        <v>0.47435897435897434</v>
      </c>
    </row>
    <row r="80" spans="2:36" ht="15.75" customHeight="1">
      <c r="B80" s="131"/>
      <c r="C80" s="131"/>
      <c r="D80" s="131"/>
      <c r="E80" s="9"/>
      <c r="F80" s="10" t="s">
        <v>131</v>
      </c>
      <c r="G80" s="20">
        <f t="shared" ref="G80:AJ80" si="23">G77/G74</f>
        <v>1.0526315789473684E-2</v>
      </c>
      <c r="H80" s="20">
        <f t="shared" si="23"/>
        <v>0</v>
      </c>
      <c r="I80" s="20">
        <f t="shared" si="23"/>
        <v>1.098901098901099E-2</v>
      </c>
      <c r="J80" s="20">
        <f t="shared" si="23"/>
        <v>5.8823529411764705E-2</v>
      </c>
      <c r="K80" s="20">
        <f t="shared" si="23"/>
        <v>0.19148936170212766</v>
      </c>
      <c r="L80" s="20" t="e">
        <f t="shared" si="23"/>
        <v>#DIV/0!</v>
      </c>
      <c r="M80" s="20">
        <f t="shared" si="23"/>
        <v>0</v>
      </c>
      <c r="N80" s="26">
        <f t="shared" si="23"/>
        <v>3.64741641337386E-2</v>
      </c>
      <c r="O80" s="22">
        <f t="shared" si="23"/>
        <v>0.4329896907216495</v>
      </c>
      <c r="P80" s="22">
        <f t="shared" si="23"/>
        <v>0.40845070422535212</v>
      </c>
      <c r="Q80" s="22">
        <f t="shared" si="23"/>
        <v>0.8125</v>
      </c>
      <c r="R80" s="22">
        <f t="shared" si="23"/>
        <v>0.52830188679245282</v>
      </c>
      <c r="S80" s="22">
        <f t="shared" si="23"/>
        <v>0.47368421052631576</v>
      </c>
      <c r="T80" s="22">
        <f t="shared" si="23"/>
        <v>0</v>
      </c>
      <c r="U80" s="26">
        <f t="shared" si="23"/>
        <v>0.49</v>
      </c>
      <c r="V80" s="22">
        <f t="shared" si="23"/>
        <v>0.49484536082474229</v>
      </c>
      <c r="W80" s="22">
        <f t="shared" si="23"/>
        <v>0.421875</v>
      </c>
      <c r="X80" s="22">
        <f t="shared" si="23"/>
        <v>0.91666666666666663</v>
      </c>
      <c r="Y80" s="22">
        <f t="shared" si="23"/>
        <v>0.5714285714285714</v>
      </c>
      <c r="Z80" s="22">
        <f t="shared" si="23"/>
        <v>0.5</v>
      </c>
      <c r="AA80" s="22">
        <f t="shared" si="23"/>
        <v>0</v>
      </c>
      <c r="AB80" s="26">
        <f t="shared" si="23"/>
        <v>0.49809885931558934</v>
      </c>
      <c r="AC80" s="22">
        <f t="shared" si="23"/>
        <v>0.5</v>
      </c>
      <c r="AD80" s="22">
        <f t="shared" si="23"/>
        <v>0.13333333333333333</v>
      </c>
      <c r="AE80" s="22">
        <f t="shared" si="23"/>
        <v>1</v>
      </c>
      <c r="AF80" s="22">
        <f t="shared" si="23"/>
        <v>0</v>
      </c>
      <c r="AG80" s="22">
        <f t="shared" si="23"/>
        <v>0.3</v>
      </c>
      <c r="AH80" s="22">
        <f t="shared" si="23"/>
        <v>0.55555555555555558</v>
      </c>
      <c r="AI80" s="22">
        <f t="shared" si="23"/>
        <v>0</v>
      </c>
      <c r="AJ80" s="26">
        <f t="shared" si="23"/>
        <v>0.29487179487179488</v>
      </c>
    </row>
    <row r="81" spans="2:36" ht="15.75" customHeight="1">
      <c r="B81" s="131"/>
      <c r="C81" s="131"/>
      <c r="D81" s="131"/>
      <c r="E81" s="9"/>
      <c r="F81" s="10" t="s">
        <v>132</v>
      </c>
      <c r="G81" s="20">
        <f t="shared" ref="G81:AJ81" si="24">G78/G74</f>
        <v>0</v>
      </c>
      <c r="H81" s="20">
        <f t="shared" si="24"/>
        <v>1.4925373134328358E-2</v>
      </c>
      <c r="I81" s="20">
        <f t="shared" si="24"/>
        <v>2.197802197802198E-2</v>
      </c>
      <c r="J81" s="20">
        <f t="shared" si="24"/>
        <v>0</v>
      </c>
      <c r="K81" s="20">
        <f t="shared" si="24"/>
        <v>0</v>
      </c>
      <c r="L81" s="20" t="e">
        <f t="shared" si="24"/>
        <v>#DIV/0!</v>
      </c>
      <c r="M81" s="20">
        <f t="shared" si="24"/>
        <v>8.3333333333333329E-2</v>
      </c>
      <c r="N81" s="26">
        <f t="shared" si="24"/>
        <v>1.2158054711246201E-2</v>
      </c>
      <c r="O81" s="22">
        <f t="shared" si="24"/>
        <v>2.0618556701030927E-2</v>
      </c>
      <c r="P81" s="22">
        <f t="shared" si="24"/>
        <v>0</v>
      </c>
      <c r="Q81" s="22">
        <f t="shared" si="24"/>
        <v>0.14583333333333334</v>
      </c>
      <c r="R81" s="22">
        <f t="shared" si="24"/>
        <v>7.5471698113207544E-2</v>
      </c>
      <c r="S81" s="22">
        <f t="shared" si="24"/>
        <v>5.2631578947368418E-2</v>
      </c>
      <c r="T81" s="22">
        <f t="shared" si="24"/>
        <v>8.3333333333333329E-2</v>
      </c>
      <c r="U81" s="26">
        <f t="shared" si="24"/>
        <v>0.05</v>
      </c>
      <c r="V81" s="22">
        <f t="shared" si="24"/>
        <v>0</v>
      </c>
      <c r="W81" s="22">
        <f t="shared" si="24"/>
        <v>0</v>
      </c>
      <c r="X81" s="22">
        <f t="shared" si="24"/>
        <v>8.3333333333333329E-2</v>
      </c>
      <c r="Y81" s="22">
        <f t="shared" si="24"/>
        <v>8.1632653061224483E-2</v>
      </c>
      <c r="Z81" s="22">
        <f t="shared" si="24"/>
        <v>0</v>
      </c>
      <c r="AA81" s="22">
        <f t="shared" si="24"/>
        <v>0.41176470588235292</v>
      </c>
      <c r="AB81" s="26">
        <f t="shared" si="24"/>
        <v>4.9429657794676805E-2</v>
      </c>
      <c r="AC81" s="22">
        <f t="shared" si="24"/>
        <v>0</v>
      </c>
      <c r="AD81" s="22">
        <f t="shared" si="24"/>
        <v>0</v>
      </c>
      <c r="AE81" s="22">
        <f t="shared" si="24"/>
        <v>0</v>
      </c>
      <c r="AF81" s="22">
        <f t="shared" si="24"/>
        <v>0</v>
      </c>
      <c r="AG81" s="22">
        <f t="shared" si="24"/>
        <v>0</v>
      </c>
      <c r="AH81" s="22">
        <f t="shared" si="24"/>
        <v>0</v>
      </c>
      <c r="AI81" s="22">
        <f t="shared" si="24"/>
        <v>0.75</v>
      </c>
      <c r="AJ81" s="26">
        <f t="shared" si="24"/>
        <v>0.23076923076923078</v>
      </c>
    </row>
    <row r="82" spans="2:36" ht="15.75" customHeight="1">
      <c r="B82" s="131"/>
      <c r="C82" s="131"/>
      <c r="D82" s="131"/>
      <c r="E82" s="9"/>
      <c r="F82" s="10" t="s">
        <v>133</v>
      </c>
      <c r="G82" s="141">
        <f t="shared" ref="G82:AJ82" si="25">G73/G74</f>
        <v>0.14736842105263157</v>
      </c>
      <c r="H82" s="141">
        <f t="shared" si="25"/>
        <v>0.14925373134328357</v>
      </c>
      <c r="I82" s="141">
        <f t="shared" si="25"/>
        <v>0.12087912087912088</v>
      </c>
      <c r="J82" s="141">
        <f t="shared" si="25"/>
        <v>0.29411764705882354</v>
      </c>
      <c r="K82" s="141">
        <f t="shared" si="25"/>
        <v>0.34042553191489361</v>
      </c>
      <c r="L82" s="20" t="e">
        <f t="shared" si="25"/>
        <v>#DIV/0!</v>
      </c>
      <c r="M82" s="20">
        <f t="shared" si="25"/>
        <v>0.41666666666666669</v>
      </c>
      <c r="N82" s="21">
        <f t="shared" si="25"/>
        <v>0.18541033434650456</v>
      </c>
      <c r="O82" s="22">
        <f t="shared" si="25"/>
        <v>0.14432989690721648</v>
      </c>
      <c r="P82" s="22">
        <f t="shared" si="25"/>
        <v>0.15492957746478872</v>
      </c>
      <c r="Q82" s="22">
        <f t="shared" si="25"/>
        <v>0.16666666666666666</v>
      </c>
      <c r="R82" s="22">
        <f t="shared" si="25"/>
        <v>0.28301886792452829</v>
      </c>
      <c r="S82" s="22">
        <f t="shared" si="25"/>
        <v>0.26315789473684209</v>
      </c>
      <c r="T82" s="22">
        <f t="shared" si="25"/>
        <v>0.41666666666666669</v>
      </c>
      <c r="U82" s="21">
        <f t="shared" si="25"/>
        <v>0.19333333333333333</v>
      </c>
      <c r="V82" s="22">
        <f t="shared" si="25"/>
        <v>0.12371134020618557</v>
      </c>
      <c r="W82" s="22">
        <f t="shared" si="25"/>
        <v>0.15625</v>
      </c>
      <c r="X82" s="22">
        <f t="shared" si="25"/>
        <v>0.20833333333333334</v>
      </c>
      <c r="Y82" s="22">
        <f t="shared" si="25"/>
        <v>0.2857142857142857</v>
      </c>
      <c r="Z82" s="22">
        <f t="shared" si="25"/>
        <v>0.25</v>
      </c>
      <c r="AA82" s="22">
        <f t="shared" si="25"/>
        <v>0.29411764705882354</v>
      </c>
      <c r="AB82" s="21">
        <f t="shared" si="25"/>
        <v>0.18631178707224336</v>
      </c>
      <c r="AC82" s="22">
        <f t="shared" si="25"/>
        <v>0.1</v>
      </c>
      <c r="AD82" s="22">
        <f t="shared" si="25"/>
        <v>0.26666666666666666</v>
      </c>
      <c r="AE82" s="22">
        <f t="shared" si="25"/>
        <v>0.125</v>
      </c>
      <c r="AF82" s="22">
        <f t="shared" si="25"/>
        <v>0</v>
      </c>
      <c r="AG82" s="22">
        <f t="shared" si="25"/>
        <v>0.1</v>
      </c>
      <c r="AH82" s="22">
        <f t="shared" si="25"/>
        <v>0.44444444444444442</v>
      </c>
      <c r="AI82" s="22">
        <f t="shared" si="25"/>
        <v>0.125</v>
      </c>
      <c r="AJ82" s="21">
        <f t="shared" si="25"/>
        <v>0.17948717948717949</v>
      </c>
    </row>
    <row r="83" spans="2:36" ht="15.75" customHeight="1">
      <c r="B83" s="131"/>
      <c r="C83" s="131"/>
      <c r="D83" s="131"/>
      <c r="E83" s="9"/>
      <c r="F83" s="10" t="s">
        <v>215</v>
      </c>
      <c r="G83" s="10">
        <v>0</v>
      </c>
      <c r="H83" s="10">
        <v>0</v>
      </c>
      <c r="I83" s="10">
        <v>0</v>
      </c>
      <c r="J83" s="10">
        <v>0</v>
      </c>
      <c r="K83" s="10">
        <v>0</v>
      </c>
      <c r="L83" s="10">
        <v>1</v>
      </c>
      <c r="M83" s="10">
        <v>2</v>
      </c>
      <c r="N83" s="11">
        <f>SUM(G83:M83)</f>
        <v>3</v>
      </c>
      <c r="O83" s="36">
        <v>0</v>
      </c>
      <c r="P83" s="36">
        <v>0</v>
      </c>
      <c r="Q83" s="36">
        <v>0</v>
      </c>
      <c r="R83" s="36">
        <v>0</v>
      </c>
      <c r="S83" s="36">
        <v>0</v>
      </c>
      <c r="T83" s="12">
        <v>0</v>
      </c>
      <c r="U83" s="11">
        <f>SUM(O83:T83)</f>
        <v>0</v>
      </c>
      <c r="V83" s="36">
        <v>0</v>
      </c>
      <c r="W83" s="36">
        <v>0</v>
      </c>
      <c r="X83" s="36">
        <v>0</v>
      </c>
      <c r="Y83" s="36">
        <v>0</v>
      </c>
      <c r="Z83" s="36">
        <v>0</v>
      </c>
      <c r="AA83" s="12">
        <v>0</v>
      </c>
      <c r="AB83" s="11">
        <f>SUM(V83:AA83)</f>
        <v>0</v>
      </c>
      <c r="AC83" s="12"/>
      <c r="AD83" s="12">
        <v>0</v>
      </c>
      <c r="AE83" s="12">
        <v>0</v>
      </c>
      <c r="AF83" s="12">
        <v>0</v>
      </c>
      <c r="AG83" s="12">
        <v>1</v>
      </c>
      <c r="AH83" s="12">
        <v>0</v>
      </c>
      <c r="AI83" s="12">
        <v>0</v>
      </c>
      <c r="AJ83" s="11">
        <f>SUM(AC83:AI83)</f>
        <v>1</v>
      </c>
    </row>
    <row r="84" spans="2:36" ht="15.75" customHeight="1">
      <c r="B84" s="131"/>
      <c r="C84" s="131"/>
      <c r="D84" s="131"/>
      <c r="E84" s="23" t="s">
        <v>481</v>
      </c>
      <c r="F84" s="4"/>
      <c r="G84" s="4"/>
      <c r="H84" s="4"/>
      <c r="I84" s="4"/>
      <c r="J84" s="4"/>
      <c r="K84" s="4"/>
      <c r="L84" s="4"/>
      <c r="M84" s="4"/>
      <c r="N84" s="25"/>
      <c r="O84" s="4"/>
      <c r="P84" s="4"/>
      <c r="Q84" s="4"/>
      <c r="R84" s="4"/>
      <c r="S84" s="4"/>
      <c r="T84" s="25"/>
      <c r="U84" s="25"/>
      <c r="V84" s="4"/>
      <c r="W84" s="4"/>
      <c r="X84" s="4"/>
      <c r="Y84" s="4"/>
      <c r="Z84" s="4"/>
      <c r="AA84" s="25"/>
      <c r="AB84" s="25"/>
      <c r="AC84" s="25"/>
      <c r="AD84" s="25"/>
      <c r="AE84" s="25"/>
      <c r="AF84" s="25"/>
      <c r="AG84" s="25"/>
      <c r="AH84" s="25"/>
      <c r="AI84" s="25"/>
      <c r="AJ84" s="25"/>
    </row>
    <row r="85" spans="2:36" ht="15.75" customHeight="1">
      <c r="B85" s="131"/>
      <c r="C85" s="131"/>
      <c r="D85" s="131"/>
      <c r="E85" s="285"/>
      <c r="F85" s="286"/>
      <c r="G85" s="286"/>
      <c r="H85" s="286"/>
      <c r="I85" s="286"/>
      <c r="J85" s="286"/>
      <c r="K85" s="286"/>
      <c r="L85" s="286"/>
      <c r="M85" s="286"/>
      <c r="N85" s="288"/>
      <c r="O85" s="288"/>
      <c r="P85" s="288"/>
      <c r="Q85" s="288"/>
      <c r="R85" s="288"/>
      <c r="S85" s="288"/>
      <c r="T85" s="288"/>
      <c r="U85" s="288"/>
      <c r="V85" s="288"/>
      <c r="W85" s="288"/>
      <c r="X85" s="288"/>
      <c r="Y85" s="288"/>
      <c r="Z85" s="288"/>
      <c r="AA85" s="288"/>
      <c r="AB85" s="288"/>
      <c r="AC85" s="288"/>
      <c r="AD85" s="288"/>
      <c r="AE85" s="288"/>
      <c r="AF85" s="288"/>
      <c r="AG85" s="288"/>
      <c r="AH85" s="288"/>
      <c r="AI85" s="288"/>
      <c r="AJ85" s="288"/>
    </row>
    <row r="86" spans="2:36" ht="15.75" customHeight="1">
      <c r="B86" s="131" t="s">
        <v>482</v>
      </c>
      <c r="C86" s="131"/>
      <c r="D86" s="131"/>
      <c r="E86" s="7" t="s">
        <v>135</v>
      </c>
      <c r="F86" s="8"/>
      <c r="G86" s="8"/>
      <c r="H86" s="8"/>
      <c r="I86" s="8"/>
      <c r="J86" s="8"/>
      <c r="K86" s="8"/>
      <c r="L86" s="8"/>
      <c r="M86" s="8"/>
      <c r="N86" s="4"/>
      <c r="O86" s="4"/>
      <c r="P86" s="4"/>
      <c r="Q86" s="4"/>
      <c r="R86" s="4"/>
      <c r="S86" s="4"/>
      <c r="T86" s="4"/>
      <c r="U86" s="4"/>
      <c r="V86" s="4"/>
      <c r="W86" s="4"/>
      <c r="X86" s="4"/>
      <c r="Y86" s="4"/>
      <c r="Z86" s="4"/>
      <c r="AA86" s="4"/>
      <c r="AB86" s="4"/>
      <c r="AC86" s="4"/>
      <c r="AD86" s="4"/>
      <c r="AE86" s="4"/>
      <c r="AF86" s="4"/>
      <c r="AG86" s="4"/>
      <c r="AH86" s="4"/>
      <c r="AI86" s="4"/>
      <c r="AJ86" s="4"/>
    </row>
    <row r="87" spans="2:36" ht="15.75" customHeight="1">
      <c r="B87" s="131"/>
      <c r="C87" s="132"/>
      <c r="D87" s="132"/>
      <c r="E87" s="9"/>
      <c r="F87" s="10" t="s">
        <v>136</v>
      </c>
      <c r="G87" s="136">
        <v>66</v>
      </c>
      <c r="H87" s="136">
        <v>82</v>
      </c>
      <c r="I87" s="142">
        <v>167</v>
      </c>
      <c r="J87" s="136">
        <v>22</v>
      </c>
      <c r="K87" s="136">
        <v>7</v>
      </c>
      <c r="L87" s="10"/>
      <c r="M87" s="10">
        <v>0</v>
      </c>
      <c r="N87" s="11">
        <f>SUM(G87:M87)</f>
        <v>344</v>
      </c>
      <c r="O87" s="12">
        <v>71</v>
      </c>
      <c r="P87" s="12">
        <v>5</v>
      </c>
      <c r="Q87" s="12">
        <v>62</v>
      </c>
      <c r="R87" s="12">
        <v>6</v>
      </c>
      <c r="S87" s="12">
        <v>40</v>
      </c>
      <c r="T87" s="12">
        <v>2</v>
      </c>
      <c r="U87" s="11">
        <f>SUM(O87:T87)</f>
        <v>186</v>
      </c>
      <c r="V87" s="12">
        <v>64</v>
      </c>
      <c r="W87" s="12">
        <f>67+3</f>
        <v>70</v>
      </c>
      <c r="X87" s="12">
        <v>13</v>
      </c>
      <c r="Y87" s="12">
        <v>15</v>
      </c>
      <c r="Z87" s="12">
        <f>10+18</f>
        <v>28</v>
      </c>
      <c r="AA87" s="12">
        <v>3</v>
      </c>
      <c r="AB87" s="11">
        <f>SUM(V87:AA87)</f>
        <v>193</v>
      </c>
      <c r="AC87" s="40" t="s">
        <v>93</v>
      </c>
      <c r="AD87" s="40" t="s">
        <v>93</v>
      </c>
      <c r="AE87" s="40" t="s">
        <v>93</v>
      </c>
      <c r="AF87" s="40" t="s">
        <v>93</v>
      </c>
      <c r="AG87" s="40" t="s">
        <v>93</v>
      </c>
      <c r="AH87" s="40" t="s">
        <v>93</v>
      </c>
      <c r="AI87" s="40" t="s">
        <v>93</v>
      </c>
      <c r="AJ87" s="41" t="s">
        <v>93</v>
      </c>
    </row>
    <row r="88" spans="2:36" ht="15.75" customHeight="1">
      <c r="B88" s="131"/>
      <c r="C88" s="131"/>
      <c r="D88" s="131"/>
      <c r="E88" s="9"/>
      <c r="F88" s="10" t="s">
        <v>137</v>
      </c>
      <c r="G88" s="136">
        <v>15</v>
      </c>
      <c r="H88" s="136">
        <v>7</v>
      </c>
      <c r="I88" s="142">
        <v>26</v>
      </c>
      <c r="J88" s="136">
        <v>2</v>
      </c>
      <c r="K88" s="133">
        <v>5</v>
      </c>
      <c r="L88" s="10"/>
      <c r="M88" s="10">
        <v>5</v>
      </c>
      <c r="N88" s="11">
        <f>SUM(G88:M88)</f>
        <v>60</v>
      </c>
      <c r="O88" s="12">
        <v>20</v>
      </c>
      <c r="P88" s="12">
        <v>45</v>
      </c>
      <c r="Q88" s="12">
        <v>8</v>
      </c>
      <c r="R88" s="12">
        <v>10</v>
      </c>
      <c r="S88" s="12">
        <v>4</v>
      </c>
      <c r="T88" s="12">
        <v>3</v>
      </c>
      <c r="U88" s="11">
        <f>SUM(O88:T88)</f>
        <v>90</v>
      </c>
      <c r="V88" s="12">
        <v>24</v>
      </c>
      <c r="W88" s="12">
        <v>6</v>
      </c>
      <c r="X88" s="12">
        <v>4</v>
      </c>
      <c r="Y88" s="12">
        <v>12</v>
      </c>
      <c r="Z88" s="12">
        <f>0+3</f>
        <v>3</v>
      </c>
      <c r="AA88" s="12">
        <v>4</v>
      </c>
      <c r="AB88" s="11">
        <f>SUM(V88:AA88)</f>
        <v>53</v>
      </c>
      <c r="AC88" s="40" t="s">
        <v>93</v>
      </c>
      <c r="AD88" s="40" t="s">
        <v>93</v>
      </c>
      <c r="AE88" s="40" t="s">
        <v>93</v>
      </c>
      <c r="AF88" s="40" t="s">
        <v>93</v>
      </c>
      <c r="AG88" s="40" t="s">
        <v>93</v>
      </c>
      <c r="AH88" s="40" t="s">
        <v>93</v>
      </c>
      <c r="AI88" s="40" t="s">
        <v>93</v>
      </c>
      <c r="AJ88" s="41" t="s">
        <v>93</v>
      </c>
    </row>
    <row r="89" spans="2:36" ht="15.75" customHeight="1">
      <c r="B89" s="132"/>
      <c r="C89" s="131"/>
      <c r="D89" s="131"/>
      <c r="E89" s="13"/>
      <c r="F89" s="14" t="s">
        <v>138</v>
      </c>
      <c r="G89" s="134">
        <f t="shared" ref="G89:AB89" si="26">SUM(G87:G88)</f>
        <v>81</v>
      </c>
      <c r="H89" s="14">
        <f t="shared" si="26"/>
        <v>89</v>
      </c>
      <c r="I89" s="42">
        <f t="shared" si="26"/>
        <v>193</v>
      </c>
      <c r="J89" s="14">
        <f t="shared" si="26"/>
        <v>24</v>
      </c>
      <c r="K89" s="14">
        <f t="shared" si="26"/>
        <v>12</v>
      </c>
      <c r="L89" s="14">
        <f t="shared" si="26"/>
        <v>0</v>
      </c>
      <c r="M89" s="14">
        <f t="shared" si="26"/>
        <v>5</v>
      </c>
      <c r="N89" s="18">
        <f t="shared" si="26"/>
        <v>404</v>
      </c>
      <c r="O89" s="17">
        <f t="shared" si="26"/>
        <v>91</v>
      </c>
      <c r="P89" s="17">
        <f t="shared" si="26"/>
        <v>50</v>
      </c>
      <c r="Q89" s="17">
        <f t="shared" si="26"/>
        <v>70</v>
      </c>
      <c r="R89" s="17">
        <f t="shared" si="26"/>
        <v>16</v>
      </c>
      <c r="S89" s="17">
        <f t="shared" si="26"/>
        <v>44</v>
      </c>
      <c r="T89" s="17">
        <f t="shared" si="26"/>
        <v>5</v>
      </c>
      <c r="U89" s="18">
        <f t="shared" si="26"/>
        <v>276</v>
      </c>
      <c r="V89" s="17">
        <f t="shared" si="26"/>
        <v>88</v>
      </c>
      <c r="W89" s="17">
        <f t="shared" si="26"/>
        <v>76</v>
      </c>
      <c r="X89" s="17">
        <f t="shared" si="26"/>
        <v>17</v>
      </c>
      <c r="Y89" s="17">
        <f t="shared" si="26"/>
        <v>27</v>
      </c>
      <c r="Z89" s="17">
        <f t="shared" si="26"/>
        <v>31</v>
      </c>
      <c r="AA89" s="17">
        <f t="shared" si="26"/>
        <v>7</v>
      </c>
      <c r="AB89" s="18">
        <f t="shared" si="26"/>
        <v>246</v>
      </c>
      <c r="AC89" s="17">
        <v>122</v>
      </c>
      <c r="AD89" s="17">
        <v>167</v>
      </c>
      <c r="AE89" s="17">
        <v>50</v>
      </c>
      <c r="AF89" s="17">
        <v>23</v>
      </c>
      <c r="AG89" s="17">
        <v>23</v>
      </c>
      <c r="AH89" s="17">
        <v>22</v>
      </c>
      <c r="AI89" s="17">
        <v>12</v>
      </c>
      <c r="AJ89" s="18">
        <f t="shared" ref="AJ89:AJ96" si="27">SUM(AC89:AI89)</f>
        <v>419</v>
      </c>
    </row>
    <row r="90" spans="2:36" ht="15.75" customHeight="1">
      <c r="B90" s="131"/>
      <c r="C90" s="131"/>
      <c r="D90" s="131"/>
      <c r="E90" s="9"/>
      <c r="F90" s="10" t="s">
        <v>139</v>
      </c>
      <c r="G90" s="136">
        <v>32</v>
      </c>
      <c r="H90" s="136">
        <v>31</v>
      </c>
      <c r="I90" s="142">
        <v>57</v>
      </c>
      <c r="J90" s="136">
        <v>11</v>
      </c>
      <c r="K90" s="136">
        <v>2</v>
      </c>
      <c r="L90" s="10"/>
      <c r="M90" s="10">
        <v>1</v>
      </c>
      <c r="N90" s="11">
        <f t="shared" ref="N90:N96" si="28">SUM(G90:M90)</f>
        <v>134</v>
      </c>
      <c r="O90" s="38">
        <v>46</v>
      </c>
      <c r="P90" s="38">
        <v>26</v>
      </c>
      <c r="Q90" s="38">
        <v>13</v>
      </c>
      <c r="R90" s="38">
        <v>4</v>
      </c>
      <c r="S90" s="38">
        <v>17</v>
      </c>
      <c r="T90" s="12">
        <v>2</v>
      </c>
      <c r="U90" s="11">
        <f t="shared" ref="U90:U96" si="29">SUM(O90:T90)</f>
        <v>108</v>
      </c>
      <c r="V90" s="12">
        <v>31</v>
      </c>
      <c r="W90" s="12">
        <v>19</v>
      </c>
      <c r="X90" s="12">
        <v>3</v>
      </c>
      <c r="Y90" s="12">
        <v>6</v>
      </c>
      <c r="Z90" s="12">
        <v>6</v>
      </c>
      <c r="AA90" s="12">
        <v>2</v>
      </c>
      <c r="AB90" s="11">
        <f t="shared" ref="AB90:AB96" si="30">SUM(V90:AA90)</f>
        <v>67</v>
      </c>
      <c r="AC90" s="12"/>
      <c r="AD90" s="12"/>
      <c r="AE90" s="12"/>
      <c r="AF90" s="12"/>
      <c r="AG90" s="12"/>
      <c r="AH90" s="12"/>
      <c r="AI90" s="12"/>
      <c r="AJ90" s="11">
        <f t="shared" si="27"/>
        <v>0</v>
      </c>
    </row>
    <row r="91" spans="2:36" ht="15.75" customHeight="1">
      <c r="B91" s="131"/>
      <c r="C91" s="131"/>
      <c r="D91" s="131"/>
      <c r="E91" s="9"/>
      <c r="F91" s="10" t="s">
        <v>140</v>
      </c>
      <c r="G91" s="136">
        <v>47</v>
      </c>
      <c r="H91" s="136">
        <v>55</v>
      </c>
      <c r="I91" s="142">
        <v>115</v>
      </c>
      <c r="J91" s="136">
        <v>13</v>
      </c>
      <c r="K91" s="136">
        <v>9</v>
      </c>
      <c r="L91" s="10"/>
      <c r="M91" s="10">
        <v>4</v>
      </c>
      <c r="N91" s="11">
        <f t="shared" si="28"/>
        <v>243</v>
      </c>
      <c r="O91" s="38">
        <v>44</v>
      </c>
      <c r="P91" s="38">
        <v>24</v>
      </c>
      <c r="Q91" s="38">
        <v>54</v>
      </c>
      <c r="R91" s="38">
        <v>10</v>
      </c>
      <c r="S91" s="38">
        <v>24</v>
      </c>
      <c r="T91" s="12">
        <v>3</v>
      </c>
      <c r="U91" s="11">
        <f t="shared" si="29"/>
        <v>159</v>
      </c>
      <c r="V91" s="12">
        <v>54</v>
      </c>
      <c r="W91" s="12">
        <v>50</v>
      </c>
      <c r="X91" s="12">
        <v>11</v>
      </c>
      <c r="Y91" s="12">
        <v>17</v>
      </c>
      <c r="Z91" s="12">
        <v>21</v>
      </c>
      <c r="AA91" s="12">
        <v>2</v>
      </c>
      <c r="AB91" s="11">
        <f t="shared" si="30"/>
        <v>155</v>
      </c>
      <c r="AC91" s="12"/>
      <c r="AD91" s="12"/>
      <c r="AE91" s="12"/>
      <c r="AF91" s="12"/>
      <c r="AG91" s="12"/>
      <c r="AH91" s="12"/>
      <c r="AI91" s="12"/>
      <c r="AJ91" s="11">
        <f t="shared" si="27"/>
        <v>0</v>
      </c>
    </row>
    <row r="92" spans="2:36" ht="15.75" customHeight="1">
      <c r="B92" s="131"/>
      <c r="C92" s="131"/>
      <c r="D92" s="131"/>
      <c r="E92" s="9"/>
      <c r="F92" s="10" t="s">
        <v>141</v>
      </c>
      <c r="G92" s="136">
        <v>2</v>
      </c>
      <c r="H92" s="136">
        <v>3</v>
      </c>
      <c r="I92" s="142">
        <v>21</v>
      </c>
      <c r="J92" s="136">
        <v>0</v>
      </c>
      <c r="K92" s="136">
        <v>1</v>
      </c>
      <c r="L92" s="10"/>
      <c r="M92" s="10">
        <v>0</v>
      </c>
      <c r="N92" s="11">
        <f t="shared" si="28"/>
        <v>27</v>
      </c>
      <c r="O92" s="38">
        <v>1</v>
      </c>
      <c r="P92" s="38">
        <v>0</v>
      </c>
      <c r="Q92" s="38">
        <v>3</v>
      </c>
      <c r="R92" s="38">
        <v>2</v>
      </c>
      <c r="S92" s="38">
        <v>3</v>
      </c>
      <c r="T92" s="12">
        <v>0</v>
      </c>
      <c r="U92" s="11">
        <f t="shared" si="29"/>
        <v>9</v>
      </c>
      <c r="V92" s="12">
        <v>3</v>
      </c>
      <c r="W92" s="12">
        <f>4+3</f>
        <v>7</v>
      </c>
      <c r="X92" s="12">
        <v>3</v>
      </c>
      <c r="Y92" s="12">
        <v>4</v>
      </c>
      <c r="Z92" s="12">
        <v>4</v>
      </c>
      <c r="AA92" s="12">
        <v>3</v>
      </c>
      <c r="AB92" s="11">
        <f t="shared" si="30"/>
        <v>24</v>
      </c>
      <c r="AC92" s="12"/>
      <c r="AD92" s="12"/>
      <c r="AE92" s="12"/>
      <c r="AF92" s="12"/>
      <c r="AG92" s="12"/>
      <c r="AH92" s="12"/>
      <c r="AI92" s="12"/>
      <c r="AJ92" s="11">
        <f t="shared" si="27"/>
        <v>0</v>
      </c>
    </row>
    <row r="93" spans="2:36" ht="15.75" customHeight="1">
      <c r="B93" s="131" t="s">
        <v>482</v>
      </c>
      <c r="C93" s="131"/>
      <c r="D93" s="131"/>
      <c r="E93" s="9"/>
      <c r="F93" s="10" t="s">
        <v>142</v>
      </c>
      <c r="G93" s="136">
        <v>28</v>
      </c>
      <c r="H93" s="136">
        <v>32</v>
      </c>
      <c r="I93" s="142">
        <v>20</v>
      </c>
      <c r="J93" s="136">
        <v>6</v>
      </c>
      <c r="K93" s="136">
        <v>5</v>
      </c>
      <c r="L93" s="10"/>
      <c r="M93" s="10">
        <v>5</v>
      </c>
      <c r="N93" s="11">
        <f t="shared" si="28"/>
        <v>96</v>
      </c>
      <c r="O93" s="12">
        <v>41</v>
      </c>
      <c r="P93" s="12">
        <v>33</v>
      </c>
      <c r="Q93" s="12">
        <v>0</v>
      </c>
      <c r="R93" s="12">
        <v>8</v>
      </c>
      <c r="S93" s="12">
        <v>4</v>
      </c>
      <c r="T93" s="12">
        <v>4</v>
      </c>
      <c r="U93" s="11">
        <f t="shared" si="29"/>
        <v>90</v>
      </c>
      <c r="V93" s="12">
        <v>42</v>
      </c>
      <c r="W93" s="12">
        <v>49</v>
      </c>
      <c r="X93" s="12">
        <v>1</v>
      </c>
      <c r="Y93" s="12">
        <v>11</v>
      </c>
      <c r="Z93" s="12">
        <f>0+3</f>
        <v>3</v>
      </c>
      <c r="AA93" s="12">
        <v>0</v>
      </c>
      <c r="AB93" s="11">
        <f t="shared" si="30"/>
        <v>106</v>
      </c>
      <c r="AC93" s="12"/>
      <c r="AD93" s="12"/>
      <c r="AE93" s="12"/>
      <c r="AF93" s="12"/>
      <c r="AG93" s="12"/>
      <c r="AH93" s="12"/>
      <c r="AI93" s="12" t="s">
        <v>93</v>
      </c>
      <c r="AJ93" s="11">
        <f t="shared" si="27"/>
        <v>0</v>
      </c>
    </row>
    <row r="94" spans="2:36" ht="15.75" customHeight="1">
      <c r="B94" s="131" t="s">
        <v>482</v>
      </c>
      <c r="C94" s="131"/>
      <c r="D94" s="131"/>
      <c r="E94" s="9"/>
      <c r="F94" s="10" t="s">
        <v>143</v>
      </c>
      <c r="G94" s="136">
        <v>28</v>
      </c>
      <c r="H94" s="136">
        <v>39</v>
      </c>
      <c r="I94" s="142">
        <v>13</v>
      </c>
      <c r="J94" s="136">
        <v>12</v>
      </c>
      <c r="K94" s="136">
        <v>1</v>
      </c>
      <c r="L94" s="10"/>
      <c r="M94" s="10">
        <v>0</v>
      </c>
      <c r="N94" s="11">
        <f t="shared" si="28"/>
        <v>93</v>
      </c>
      <c r="O94" s="12">
        <v>30</v>
      </c>
      <c r="P94" s="12">
        <v>7</v>
      </c>
      <c r="Q94" s="12">
        <v>5</v>
      </c>
      <c r="R94" s="12">
        <v>1</v>
      </c>
      <c r="S94" s="12">
        <v>21</v>
      </c>
      <c r="T94" s="12">
        <v>0</v>
      </c>
      <c r="U94" s="11">
        <f t="shared" si="29"/>
        <v>64</v>
      </c>
      <c r="V94" s="12">
        <v>19</v>
      </c>
      <c r="W94" s="12">
        <v>7</v>
      </c>
      <c r="X94" s="12">
        <v>2</v>
      </c>
      <c r="Y94" s="12">
        <v>2</v>
      </c>
      <c r="Z94" s="12">
        <f>2+6</f>
        <v>8</v>
      </c>
      <c r="AA94" s="12">
        <v>6</v>
      </c>
      <c r="AB94" s="11">
        <f t="shared" si="30"/>
        <v>44</v>
      </c>
      <c r="AC94" s="12">
        <v>83</v>
      </c>
      <c r="AD94" s="12">
        <v>159</v>
      </c>
      <c r="AE94" s="12">
        <v>22</v>
      </c>
      <c r="AF94" s="12">
        <v>10</v>
      </c>
      <c r="AG94" s="12">
        <v>11</v>
      </c>
      <c r="AH94" s="12">
        <v>18</v>
      </c>
      <c r="AI94" s="12">
        <v>3</v>
      </c>
      <c r="AJ94" s="11">
        <f t="shared" si="27"/>
        <v>306</v>
      </c>
    </row>
    <row r="95" spans="2:36" ht="15.75" customHeight="1">
      <c r="B95" s="131" t="s">
        <v>482</v>
      </c>
      <c r="C95" s="131"/>
      <c r="D95" s="131"/>
      <c r="E95" s="9"/>
      <c r="F95" s="10" t="s">
        <v>144</v>
      </c>
      <c r="G95" s="136">
        <v>25</v>
      </c>
      <c r="H95" s="136">
        <v>18</v>
      </c>
      <c r="I95" s="142">
        <v>160</v>
      </c>
      <c r="J95" s="136">
        <v>6</v>
      </c>
      <c r="K95" s="136">
        <v>6</v>
      </c>
      <c r="L95" s="10"/>
      <c r="M95" s="10">
        <v>0</v>
      </c>
      <c r="N95" s="11">
        <f t="shared" si="28"/>
        <v>215</v>
      </c>
      <c r="O95" s="12">
        <v>20</v>
      </c>
      <c r="P95" s="12">
        <v>10</v>
      </c>
      <c r="Q95" s="12">
        <v>65</v>
      </c>
      <c r="R95" s="12">
        <v>7</v>
      </c>
      <c r="S95" s="12">
        <v>19</v>
      </c>
      <c r="T95" s="12">
        <v>1</v>
      </c>
      <c r="U95" s="11">
        <f t="shared" si="29"/>
        <v>122</v>
      </c>
      <c r="V95" s="12">
        <v>27</v>
      </c>
      <c r="W95" s="12">
        <v>17</v>
      </c>
      <c r="X95" s="12">
        <v>14</v>
      </c>
      <c r="Y95" s="12">
        <v>14</v>
      </c>
      <c r="Z95" s="12">
        <f>8+12</f>
        <v>20</v>
      </c>
      <c r="AA95" s="12">
        <v>0</v>
      </c>
      <c r="AB95" s="11">
        <f t="shared" si="30"/>
        <v>92</v>
      </c>
      <c r="AC95" s="12">
        <v>39</v>
      </c>
      <c r="AD95" s="12">
        <v>8</v>
      </c>
      <c r="AE95" s="12">
        <v>28</v>
      </c>
      <c r="AF95" s="12">
        <v>13</v>
      </c>
      <c r="AG95" s="12">
        <v>12</v>
      </c>
      <c r="AH95" s="12">
        <v>4</v>
      </c>
      <c r="AI95" s="12">
        <v>0</v>
      </c>
      <c r="AJ95" s="11">
        <f t="shared" si="27"/>
        <v>104</v>
      </c>
    </row>
    <row r="96" spans="2:36" ht="15.75" customHeight="1">
      <c r="B96" s="131" t="s">
        <v>482</v>
      </c>
      <c r="C96" s="131"/>
      <c r="D96" s="131"/>
      <c r="E96" s="9"/>
      <c r="F96" s="10" t="s">
        <v>145</v>
      </c>
      <c r="G96" s="136">
        <v>0</v>
      </c>
      <c r="H96" s="136">
        <v>0</v>
      </c>
      <c r="I96" s="142">
        <v>0</v>
      </c>
      <c r="J96" s="136">
        <v>0</v>
      </c>
      <c r="K96" s="136">
        <v>0</v>
      </c>
      <c r="L96" s="10"/>
      <c r="M96" s="10">
        <v>0</v>
      </c>
      <c r="N96" s="11">
        <f t="shared" si="28"/>
        <v>0</v>
      </c>
      <c r="O96" s="12"/>
      <c r="P96" s="12"/>
      <c r="Q96" s="12"/>
      <c r="R96" s="12"/>
      <c r="S96" s="12"/>
      <c r="T96" s="12"/>
      <c r="U96" s="11">
        <f t="shared" si="29"/>
        <v>0</v>
      </c>
      <c r="V96" s="12">
        <v>0</v>
      </c>
      <c r="W96" s="12">
        <v>3</v>
      </c>
      <c r="X96" s="12">
        <v>0</v>
      </c>
      <c r="Y96" s="12">
        <v>0</v>
      </c>
      <c r="Z96" s="12">
        <v>0</v>
      </c>
      <c r="AA96" s="12">
        <v>0</v>
      </c>
      <c r="AB96" s="11">
        <f t="shared" si="30"/>
        <v>3</v>
      </c>
      <c r="AC96" s="12">
        <v>0</v>
      </c>
      <c r="AD96" s="12">
        <v>0</v>
      </c>
      <c r="AE96" s="12">
        <v>0</v>
      </c>
      <c r="AF96" s="12">
        <v>0</v>
      </c>
      <c r="AG96" s="12">
        <v>0</v>
      </c>
      <c r="AH96" s="12">
        <v>0</v>
      </c>
      <c r="AI96" s="12">
        <v>9</v>
      </c>
      <c r="AJ96" s="11">
        <f t="shared" si="27"/>
        <v>9</v>
      </c>
    </row>
    <row r="98" spans="2:36" ht="15.75" customHeight="1">
      <c r="B98" s="131" t="s">
        <v>483</v>
      </c>
      <c r="C98" s="131"/>
      <c r="D98" s="131"/>
      <c r="E98" s="7" t="s">
        <v>146</v>
      </c>
      <c r="F98" s="8"/>
      <c r="G98" s="8"/>
      <c r="H98" s="8"/>
      <c r="I98" s="8"/>
      <c r="J98" s="8"/>
      <c r="K98" s="8"/>
      <c r="L98" s="8"/>
      <c r="M98" s="8"/>
      <c r="N98" s="4"/>
      <c r="O98" s="4"/>
      <c r="P98" s="4"/>
      <c r="Q98" s="4"/>
      <c r="R98" s="4"/>
      <c r="S98" s="4"/>
      <c r="T98" s="4"/>
      <c r="U98" s="4"/>
      <c r="V98" s="4"/>
      <c r="W98" s="4"/>
      <c r="X98" s="4"/>
      <c r="Y98" s="4"/>
      <c r="Z98" s="4"/>
      <c r="AA98" s="4"/>
      <c r="AB98" s="4"/>
      <c r="AC98" s="4"/>
      <c r="AD98" s="4"/>
      <c r="AE98" s="4"/>
      <c r="AF98" s="4"/>
      <c r="AG98" s="4"/>
      <c r="AH98" s="4"/>
      <c r="AI98" s="4"/>
      <c r="AJ98" s="4"/>
    </row>
    <row r="99" spans="2:36" ht="15.75" customHeight="1">
      <c r="B99" s="131"/>
      <c r="C99" s="132"/>
      <c r="D99" s="132"/>
      <c r="E99" s="9"/>
      <c r="F99" s="10" t="s">
        <v>147</v>
      </c>
      <c r="G99" s="136">
        <v>64</v>
      </c>
      <c r="H99" s="136">
        <v>51</v>
      </c>
      <c r="I99" s="136">
        <v>44</v>
      </c>
      <c r="J99" s="136">
        <v>22</v>
      </c>
      <c r="K99" s="10">
        <v>10</v>
      </c>
      <c r="L99" s="10"/>
      <c r="M99" s="10">
        <v>1</v>
      </c>
      <c r="N99" s="11">
        <f>SUM(G99:M99)</f>
        <v>192</v>
      </c>
      <c r="O99" s="12">
        <v>54</v>
      </c>
      <c r="P99" s="12">
        <v>47</v>
      </c>
      <c r="Q99" s="12">
        <f>13+5</f>
        <v>18</v>
      </c>
      <c r="R99" s="12">
        <f>3+4</f>
        <v>7</v>
      </c>
      <c r="S99" s="12">
        <v>34</v>
      </c>
      <c r="T99" s="12">
        <v>0</v>
      </c>
      <c r="U99" s="11">
        <f>SUM(O99:T99)</f>
        <v>160</v>
      </c>
      <c r="V99" s="12">
        <v>80</v>
      </c>
      <c r="W99" s="12">
        <v>50</v>
      </c>
      <c r="X99" s="12">
        <v>7</v>
      </c>
      <c r="Y99" s="12">
        <v>7</v>
      </c>
      <c r="Z99" s="12">
        <f>18+12</f>
        <v>30</v>
      </c>
      <c r="AA99" s="12">
        <f>2+9</f>
        <v>11</v>
      </c>
      <c r="AB99" s="11">
        <f>SUM(V99:AA99)</f>
        <v>185</v>
      </c>
      <c r="AC99" s="12"/>
      <c r="AD99" s="12"/>
      <c r="AE99" s="12"/>
      <c r="AF99" s="12" t="s">
        <v>148</v>
      </c>
      <c r="AG99" s="12" t="s">
        <v>93</v>
      </c>
      <c r="AH99" s="12" t="s">
        <v>93</v>
      </c>
      <c r="AI99" s="12" t="s">
        <v>93</v>
      </c>
      <c r="AJ99" s="11" t="s">
        <v>93</v>
      </c>
    </row>
    <row r="100" spans="2:36" ht="15.75" customHeight="1">
      <c r="B100" s="131"/>
      <c r="C100" s="131"/>
      <c r="D100" s="131"/>
      <c r="E100" s="10"/>
      <c r="F100" s="10" t="s">
        <v>149</v>
      </c>
      <c r="G100" s="10">
        <v>15</v>
      </c>
      <c r="H100" s="10">
        <v>3</v>
      </c>
      <c r="I100" s="10">
        <v>13</v>
      </c>
      <c r="J100" s="10">
        <v>2</v>
      </c>
      <c r="K100" s="10">
        <v>5</v>
      </c>
      <c r="L100" s="10"/>
      <c r="M100" s="10">
        <v>5</v>
      </c>
      <c r="N100" s="11">
        <f>SUM(G100:M100)</f>
        <v>43</v>
      </c>
      <c r="O100" s="12">
        <v>13</v>
      </c>
      <c r="P100" s="12">
        <v>4</v>
      </c>
      <c r="Q100" s="12">
        <v>4</v>
      </c>
      <c r="R100" s="12">
        <v>8</v>
      </c>
      <c r="S100" s="12">
        <v>4</v>
      </c>
      <c r="T100" s="12">
        <v>2</v>
      </c>
      <c r="U100" s="11">
        <f>SUM(O100:T100)</f>
        <v>35</v>
      </c>
      <c r="V100" s="12">
        <v>18</v>
      </c>
      <c r="W100" s="12">
        <v>5</v>
      </c>
      <c r="X100" s="12">
        <v>5</v>
      </c>
      <c r="Y100" s="12">
        <v>10</v>
      </c>
      <c r="Z100" s="12">
        <f>2+2</f>
        <v>4</v>
      </c>
      <c r="AA100" s="12">
        <f>1+1</f>
        <v>2</v>
      </c>
      <c r="AB100" s="11">
        <f>SUM(V100:AA100)</f>
        <v>44</v>
      </c>
      <c r="AC100" s="12"/>
      <c r="AD100" s="12"/>
      <c r="AE100" s="12"/>
      <c r="AF100" s="12" t="s">
        <v>148</v>
      </c>
      <c r="AG100" s="12" t="s">
        <v>93</v>
      </c>
      <c r="AH100" s="12" t="s">
        <v>93</v>
      </c>
      <c r="AI100" s="12" t="s">
        <v>93</v>
      </c>
      <c r="AJ100" s="11" t="s">
        <v>93</v>
      </c>
    </row>
    <row r="101" spans="2:36" ht="15.75" customHeight="1">
      <c r="B101" s="132"/>
      <c r="C101" s="131"/>
      <c r="D101" s="131"/>
      <c r="E101" s="13"/>
      <c r="F101" s="14" t="s">
        <v>150</v>
      </c>
      <c r="G101" s="14">
        <f t="shared" ref="G101:AB101" si="31">SUM(G99:G100)</f>
        <v>79</v>
      </c>
      <c r="H101" s="14">
        <f t="shared" si="31"/>
        <v>54</v>
      </c>
      <c r="I101" s="14">
        <f t="shared" si="31"/>
        <v>57</v>
      </c>
      <c r="J101" s="14">
        <f t="shared" si="31"/>
        <v>24</v>
      </c>
      <c r="K101" s="14">
        <f t="shared" si="31"/>
        <v>15</v>
      </c>
      <c r="L101" s="14">
        <f t="shared" si="31"/>
        <v>0</v>
      </c>
      <c r="M101" s="14">
        <f t="shared" si="31"/>
        <v>6</v>
      </c>
      <c r="N101" s="143">
        <f t="shared" si="31"/>
        <v>235</v>
      </c>
      <c r="O101" s="17">
        <f t="shared" si="31"/>
        <v>67</v>
      </c>
      <c r="P101" s="17">
        <f t="shared" si="31"/>
        <v>51</v>
      </c>
      <c r="Q101" s="17">
        <f t="shared" si="31"/>
        <v>22</v>
      </c>
      <c r="R101" s="17">
        <f t="shared" si="31"/>
        <v>15</v>
      </c>
      <c r="S101" s="17">
        <f t="shared" si="31"/>
        <v>38</v>
      </c>
      <c r="T101" s="17">
        <f t="shared" si="31"/>
        <v>2</v>
      </c>
      <c r="U101" s="18">
        <f t="shared" si="31"/>
        <v>195</v>
      </c>
      <c r="V101" s="17">
        <f t="shared" si="31"/>
        <v>98</v>
      </c>
      <c r="W101" s="17">
        <f t="shared" si="31"/>
        <v>55</v>
      </c>
      <c r="X101" s="17">
        <f t="shared" si="31"/>
        <v>12</v>
      </c>
      <c r="Y101" s="17">
        <f t="shared" si="31"/>
        <v>17</v>
      </c>
      <c r="Z101" s="17">
        <f t="shared" si="31"/>
        <v>34</v>
      </c>
      <c r="AA101" s="17">
        <f t="shared" si="31"/>
        <v>13</v>
      </c>
      <c r="AB101" s="18">
        <f t="shared" si="31"/>
        <v>229</v>
      </c>
      <c r="AC101" s="17">
        <v>81</v>
      </c>
      <c r="AD101" s="17">
        <v>56</v>
      </c>
      <c r="AE101" s="17">
        <v>14</v>
      </c>
      <c r="AF101" s="17" t="s">
        <v>148</v>
      </c>
      <c r="AG101" s="17">
        <v>10</v>
      </c>
      <c r="AH101" s="17">
        <v>20</v>
      </c>
      <c r="AI101" s="17">
        <v>8</v>
      </c>
      <c r="AJ101" s="18">
        <f t="shared" ref="AJ101:AJ108" si="32">SUM(AC101:AI101)</f>
        <v>189</v>
      </c>
    </row>
    <row r="102" spans="2:36" ht="15.75" customHeight="1">
      <c r="B102" s="131"/>
      <c r="C102" s="131"/>
      <c r="D102" s="131"/>
      <c r="E102" s="9"/>
      <c r="F102" s="10" t="s">
        <v>151</v>
      </c>
      <c r="G102" s="10">
        <v>25</v>
      </c>
      <c r="H102" s="10">
        <v>19</v>
      </c>
      <c r="I102" s="10">
        <v>16</v>
      </c>
      <c r="J102" s="10">
        <v>11</v>
      </c>
      <c r="K102" s="10">
        <v>3</v>
      </c>
      <c r="L102" s="10"/>
      <c r="M102" s="10">
        <v>1</v>
      </c>
      <c r="N102" s="11">
        <f t="shared" ref="N102:N108" si="33">SUM(G102:M102)</f>
        <v>75</v>
      </c>
      <c r="O102" s="38">
        <v>22</v>
      </c>
      <c r="P102" s="38">
        <v>23</v>
      </c>
      <c r="Q102" s="38">
        <v>6</v>
      </c>
      <c r="R102" s="38">
        <f>5</f>
        <v>5</v>
      </c>
      <c r="S102" s="38">
        <v>18</v>
      </c>
      <c r="T102" s="12">
        <v>2</v>
      </c>
      <c r="U102" s="11">
        <f t="shared" ref="U102:U108" si="34">SUM(O102:T102)</f>
        <v>76</v>
      </c>
      <c r="V102" s="12">
        <v>26</v>
      </c>
      <c r="W102" s="12">
        <v>12</v>
      </c>
      <c r="X102" s="12">
        <v>1</v>
      </c>
      <c r="Y102" s="12"/>
      <c r="Z102" s="12">
        <v>5</v>
      </c>
      <c r="AA102" s="12">
        <v>1</v>
      </c>
      <c r="AB102" s="11">
        <f t="shared" ref="AB102:AB108" si="35">SUM(V102:AA102)</f>
        <v>45</v>
      </c>
      <c r="AC102" s="12"/>
      <c r="AD102" s="12"/>
      <c r="AE102" s="12"/>
      <c r="AF102" s="12" t="s">
        <v>148</v>
      </c>
      <c r="AG102" s="12"/>
      <c r="AH102" s="12"/>
      <c r="AI102" s="12"/>
      <c r="AJ102" s="11">
        <f t="shared" si="32"/>
        <v>0</v>
      </c>
    </row>
    <row r="103" spans="2:36" ht="15.75" customHeight="1">
      <c r="B103" s="131"/>
      <c r="C103" s="131"/>
      <c r="D103" s="131"/>
      <c r="E103" s="9"/>
      <c r="F103" s="10" t="s">
        <v>152</v>
      </c>
      <c r="G103" s="10">
        <v>42</v>
      </c>
      <c r="H103" s="10">
        <v>26</v>
      </c>
      <c r="I103" s="10">
        <v>39</v>
      </c>
      <c r="J103" s="10">
        <v>13</v>
      </c>
      <c r="K103" s="10">
        <v>10</v>
      </c>
      <c r="L103" s="10"/>
      <c r="M103" s="10">
        <v>3</v>
      </c>
      <c r="N103" s="11">
        <f t="shared" si="33"/>
        <v>133</v>
      </c>
      <c r="O103" s="38">
        <v>38</v>
      </c>
      <c r="P103" s="38">
        <v>24</v>
      </c>
      <c r="Q103" s="38">
        <v>10</v>
      </c>
      <c r="R103" s="38">
        <f>5+2</f>
        <v>7</v>
      </c>
      <c r="S103" s="38">
        <v>16</v>
      </c>
      <c r="T103" s="12">
        <v>0</v>
      </c>
      <c r="U103" s="11">
        <f t="shared" si="34"/>
        <v>95</v>
      </c>
      <c r="V103" s="12">
        <f>40+28</f>
        <v>68</v>
      </c>
      <c r="W103" s="12">
        <f>27+11</f>
        <v>38</v>
      </c>
      <c r="X103" s="12">
        <f>10+1</f>
        <v>11</v>
      </c>
      <c r="Y103" s="12">
        <f>6+10</f>
        <v>16</v>
      </c>
      <c r="Z103" s="12">
        <f>3+6+14</f>
        <v>23</v>
      </c>
      <c r="AA103" s="12">
        <v>6</v>
      </c>
      <c r="AB103" s="11">
        <f t="shared" si="35"/>
        <v>162</v>
      </c>
      <c r="AC103" s="12"/>
      <c r="AD103" s="12"/>
      <c r="AE103" s="12"/>
      <c r="AF103" s="12" t="s">
        <v>148</v>
      </c>
      <c r="AG103" s="12"/>
      <c r="AH103" s="12"/>
      <c r="AI103" s="12"/>
      <c r="AJ103" s="11">
        <f t="shared" si="32"/>
        <v>0</v>
      </c>
    </row>
    <row r="104" spans="2:36" ht="15.75" customHeight="1">
      <c r="B104" s="131"/>
      <c r="C104" s="131"/>
      <c r="D104" s="131"/>
      <c r="E104" s="9"/>
      <c r="F104" s="10" t="s">
        <v>153</v>
      </c>
      <c r="G104" s="10">
        <v>12</v>
      </c>
      <c r="H104" s="10">
        <v>9</v>
      </c>
      <c r="I104" s="10">
        <v>2</v>
      </c>
      <c r="J104" s="10">
        <v>0</v>
      </c>
      <c r="K104" s="10">
        <v>2</v>
      </c>
      <c r="L104" s="10"/>
      <c r="M104" s="10">
        <v>2</v>
      </c>
      <c r="N104" s="11">
        <f t="shared" si="33"/>
        <v>27</v>
      </c>
      <c r="O104" s="38">
        <v>7</v>
      </c>
      <c r="P104" s="38">
        <v>4</v>
      </c>
      <c r="Q104" s="38">
        <v>1</v>
      </c>
      <c r="R104" s="38">
        <f>1+2</f>
        <v>3</v>
      </c>
      <c r="S104" s="38">
        <v>4</v>
      </c>
      <c r="T104" s="12"/>
      <c r="U104" s="11">
        <f t="shared" si="34"/>
        <v>19</v>
      </c>
      <c r="V104" s="12">
        <v>4</v>
      </c>
      <c r="W104" s="12">
        <v>5</v>
      </c>
      <c r="X104" s="12"/>
      <c r="Y104" s="12">
        <v>1</v>
      </c>
      <c r="Z104" s="12">
        <v>6</v>
      </c>
      <c r="AA104" s="12">
        <v>6</v>
      </c>
      <c r="AB104" s="11">
        <f t="shared" si="35"/>
        <v>22</v>
      </c>
      <c r="AC104" s="12"/>
      <c r="AD104" s="12"/>
      <c r="AE104" s="12"/>
      <c r="AF104" s="12" t="s">
        <v>148</v>
      </c>
      <c r="AG104" s="12"/>
      <c r="AH104" s="12"/>
      <c r="AI104" s="12"/>
      <c r="AJ104" s="11">
        <f t="shared" si="32"/>
        <v>0</v>
      </c>
    </row>
    <row r="105" spans="2:36" ht="15.75" customHeight="1">
      <c r="B105" s="131" t="s">
        <v>483</v>
      </c>
      <c r="C105" s="131"/>
      <c r="D105" s="131"/>
      <c r="E105" s="9"/>
      <c r="F105" s="10" t="s">
        <v>154</v>
      </c>
      <c r="G105" s="10">
        <v>27</v>
      </c>
      <c r="H105" s="10">
        <v>16</v>
      </c>
      <c r="I105" s="10">
        <v>5</v>
      </c>
      <c r="J105" s="10">
        <v>6</v>
      </c>
      <c r="K105" s="10">
        <v>10</v>
      </c>
      <c r="L105" s="10"/>
      <c r="M105" s="10">
        <v>6</v>
      </c>
      <c r="N105" s="11">
        <f t="shared" si="33"/>
        <v>70</v>
      </c>
      <c r="O105" s="12">
        <v>22</v>
      </c>
      <c r="P105" s="12">
        <v>32</v>
      </c>
      <c r="Q105" s="12">
        <v>2</v>
      </c>
      <c r="R105" s="12">
        <v>5</v>
      </c>
      <c r="S105" s="12">
        <v>3</v>
      </c>
      <c r="T105" s="12">
        <v>2</v>
      </c>
      <c r="U105" s="11">
        <f t="shared" si="34"/>
        <v>66</v>
      </c>
      <c r="V105" s="12">
        <v>46</v>
      </c>
      <c r="W105" s="12">
        <v>37</v>
      </c>
      <c r="X105" s="12">
        <v>2</v>
      </c>
      <c r="Y105" s="12">
        <v>10</v>
      </c>
      <c r="Z105" s="12">
        <f>0+3</f>
        <v>3</v>
      </c>
      <c r="AA105" s="12">
        <v>0</v>
      </c>
      <c r="AB105" s="11">
        <f t="shared" si="35"/>
        <v>98</v>
      </c>
      <c r="AC105" s="12"/>
      <c r="AD105" s="12"/>
      <c r="AE105" s="12"/>
      <c r="AF105" s="12" t="s">
        <v>148</v>
      </c>
      <c r="AG105" s="12" t="s">
        <v>93</v>
      </c>
      <c r="AH105" s="12" t="s">
        <v>93</v>
      </c>
      <c r="AI105" s="12" t="s">
        <v>93</v>
      </c>
      <c r="AJ105" s="11">
        <f t="shared" si="32"/>
        <v>0</v>
      </c>
    </row>
    <row r="106" spans="2:36" ht="15.75" customHeight="1">
      <c r="B106" s="131" t="s">
        <v>483</v>
      </c>
      <c r="C106" s="131"/>
      <c r="D106" s="131"/>
      <c r="E106" s="9"/>
      <c r="F106" s="10" t="s">
        <v>155</v>
      </c>
      <c r="G106" s="10">
        <v>33</v>
      </c>
      <c r="H106" s="10">
        <v>26</v>
      </c>
      <c r="I106" s="10">
        <v>10</v>
      </c>
      <c r="J106" s="10">
        <v>12</v>
      </c>
      <c r="K106" s="10">
        <v>1</v>
      </c>
      <c r="L106" s="10"/>
      <c r="M106" s="10">
        <v>0</v>
      </c>
      <c r="N106" s="11">
        <f t="shared" si="33"/>
        <v>82</v>
      </c>
      <c r="O106" s="12">
        <v>24</v>
      </c>
      <c r="P106" s="12">
        <v>3</v>
      </c>
      <c r="Q106" s="12">
        <v>1</v>
      </c>
      <c r="R106" s="12">
        <v>1</v>
      </c>
      <c r="S106" s="12">
        <v>16</v>
      </c>
      <c r="T106" s="12">
        <v>0</v>
      </c>
      <c r="U106" s="11">
        <f t="shared" si="34"/>
        <v>45</v>
      </c>
      <c r="V106" s="12">
        <v>30</v>
      </c>
      <c r="W106" s="12">
        <v>5</v>
      </c>
      <c r="X106" s="12">
        <v>1</v>
      </c>
      <c r="Y106" s="12">
        <v>0</v>
      </c>
      <c r="Z106" s="12">
        <f>4+8</f>
        <v>12</v>
      </c>
      <c r="AA106" s="12">
        <v>3</v>
      </c>
      <c r="AB106" s="11">
        <f t="shared" si="35"/>
        <v>51</v>
      </c>
      <c r="AC106" s="12" t="s">
        <v>93</v>
      </c>
      <c r="AD106" s="12" t="s">
        <v>93</v>
      </c>
      <c r="AE106" s="12" t="s">
        <v>93</v>
      </c>
      <c r="AF106" s="12" t="s">
        <v>148</v>
      </c>
      <c r="AG106" s="12" t="s">
        <v>93</v>
      </c>
      <c r="AH106" s="12" t="s">
        <v>93</v>
      </c>
      <c r="AI106" s="12" t="s">
        <v>93</v>
      </c>
      <c r="AJ106" s="11">
        <f t="shared" si="32"/>
        <v>0</v>
      </c>
    </row>
    <row r="107" spans="2:36" ht="15.75" customHeight="1">
      <c r="B107" s="131" t="s">
        <v>483</v>
      </c>
      <c r="C107" s="132"/>
      <c r="D107" s="132"/>
      <c r="E107" s="9"/>
      <c r="F107" s="10" t="s">
        <v>156</v>
      </c>
      <c r="G107" s="10">
        <v>19</v>
      </c>
      <c r="H107" s="10">
        <v>12</v>
      </c>
      <c r="I107" s="10">
        <v>42</v>
      </c>
      <c r="J107" s="10">
        <v>6</v>
      </c>
      <c r="K107" s="10">
        <v>4</v>
      </c>
      <c r="L107" s="10"/>
      <c r="M107" s="10">
        <v>0</v>
      </c>
      <c r="N107" s="11">
        <f t="shared" si="33"/>
        <v>83</v>
      </c>
      <c r="O107" s="12">
        <v>21</v>
      </c>
      <c r="P107" s="12">
        <v>16</v>
      </c>
      <c r="Q107" s="12">
        <v>14</v>
      </c>
      <c r="R107" s="12">
        <v>5</v>
      </c>
      <c r="S107" s="12">
        <v>19</v>
      </c>
      <c r="T107" s="12">
        <v>0</v>
      </c>
      <c r="U107" s="11">
        <f t="shared" si="34"/>
        <v>75</v>
      </c>
      <c r="V107" s="12">
        <v>20</v>
      </c>
      <c r="W107" s="12">
        <v>13</v>
      </c>
      <c r="X107" s="12">
        <v>9</v>
      </c>
      <c r="Y107" s="12">
        <v>7</v>
      </c>
      <c r="Z107" s="12">
        <f>16+3</f>
        <v>19</v>
      </c>
      <c r="AA107" s="12">
        <v>0</v>
      </c>
      <c r="AB107" s="11">
        <f t="shared" si="35"/>
        <v>68</v>
      </c>
      <c r="AC107" s="12">
        <v>81</v>
      </c>
      <c r="AD107" s="12">
        <v>56</v>
      </c>
      <c r="AE107" s="12">
        <v>14</v>
      </c>
      <c r="AF107" s="12" t="s">
        <v>148</v>
      </c>
      <c r="AG107" s="12">
        <v>10</v>
      </c>
      <c r="AH107" s="12">
        <v>20</v>
      </c>
      <c r="AI107" s="12">
        <v>4</v>
      </c>
      <c r="AJ107" s="11">
        <f t="shared" si="32"/>
        <v>185</v>
      </c>
    </row>
    <row r="108" spans="2:36" ht="15.75" customHeight="1">
      <c r="B108" s="131" t="s">
        <v>483</v>
      </c>
      <c r="C108" s="131"/>
      <c r="D108" s="131"/>
      <c r="E108" s="9"/>
      <c r="F108" s="10" t="s">
        <v>157</v>
      </c>
      <c r="G108" s="10">
        <v>0</v>
      </c>
      <c r="H108" s="10">
        <v>0</v>
      </c>
      <c r="I108" s="10">
        <v>0</v>
      </c>
      <c r="J108" s="10">
        <v>0</v>
      </c>
      <c r="K108" s="10">
        <v>0</v>
      </c>
      <c r="L108" s="10"/>
      <c r="M108" s="10"/>
      <c r="N108" s="11">
        <f t="shared" si="33"/>
        <v>0</v>
      </c>
      <c r="O108" s="12"/>
      <c r="P108" s="12"/>
      <c r="Q108" s="12">
        <v>5</v>
      </c>
      <c r="R108" s="12">
        <v>4</v>
      </c>
      <c r="S108" s="12"/>
      <c r="T108" s="12">
        <v>0</v>
      </c>
      <c r="U108" s="11">
        <f t="shared" si="34"/>
        <v>9</v>
      </c>
      <c r="V108" s="12">
        <v>0</v>
      </c>
      <c r="W108" s="12">
        <v>0</v>
      </c>
      <c r="X108" s="12">
        <v>0</v>
      </c>
      <c r="Y108" s="12">
        <v>0</v>
      </c>
      <c r="Z108" s="12">
        <v>0</v>
      </c>
      <c r="AA108" s="12">
        <v>10</v>
      </c>
      <c r="AB108" s="11">
        <f t="shared" si="35"/>
        <v>10</v>
      </c>
      <c r="AC108" s="12">
        <v>0</v>
      </c>
      <c r="AD108" s="12">
        <v>0</v>
      </c>
      <c r="AE108" s="12"/>
      <c r="AF108" s="12" t="s">
        <v>148</v>
      </c>
      <c r="AG108" s="12">
        <v>0</v>
      </c>
      <c r="AH108" s="12">
        <v>0</v>
      </c>
      <c r="AI108" s="12">
        <v>4</v>
      </c>
      <c r="AJ108" s="11">
        <f t="shared" si="32"/>
        <v>4</v>
      </c>
    </row>
    <row r="109" spans="2:36" ht="15.75" customHeight="1">
      <c r="B109" s="131" t="s">
        <v>483</v>
      </c>
      <c r="C109" s="131"/>
      <c r="D109" s="131"/>
      <c r="E109" s="13"/>
      <c r="F109" s="14" t="s">
        <v>484</v>
      </c>
      <c r="G109" s="43">
        <f t="shared" ref="G109:AE109" si="36">G101/G27</f>
        <v>0.14107142857142857</v>
      </c>
      <c r="H109" s="43">
        <f t="shared" si="36"/>
        <v>0.10821643286573146</v>
      </c>
      <c r="I109" s="43">
        <f t="shared" si="36"/>
        <v>0.27272727272727271</v>
      </c>
      <c r="J109" s="43">
        <f t="shared" si="36"/>
        <v>0.29268292682926828</v>
      </c>
      <c r="K109" s="43">
        <f t="shared" si="36"/>
        <v>0.19230769230769232</v>
      </c>
      <c r="L109" s="43" t="e">
        <f t="shared" si="36"/>
        <v>#DIV/0!</v>
      </c>
      <c r="M109" s="43">
        <f t="shared" si="36"/>
        <v>0.31578947368421051</v>
      </c>
      <c r="N109" s="44">
        <f t="shared" si="36"/>
        <v>0.16240497581202487</v>
      </c>
      <c r="O109" s="46">
        <f t="shared" si="36"/>
        <v>0.122040072859745</v>
      </c>
      <c r="P109" s="46">
        <f t="shared" si="36"/>
        <v>0.10220440881763528</v>
      </c>
      <c r="Q109" s="46">
        <f t="shared" si="36"/>
        <v>0.2857142857142857</v>
      </c>
      <c r="R109" s="46">
        <f t="shared" si="36"/>
        <v>0.189873417721519</v>
      </c>
      <c r="S109" s="46">
        <f t="shared" si="36"/>
        <v>0.46341463414634149</v>
      </c>
      <c r="T109" s="46">
        <f t="shared" si="36"/>
        <v>0.10526315789473684</v>
      </c>
      <c r="U109" s="44">
        <f t="shared" si="36"/>
        <v>0.14942528735632185</v>
      </c>
      <c r="V109" s="46">
        <f t="shared" si="36"/>
        <v>0.17785843920145192</v>
      </c>
      <c r="W109" s="46">
        <f t="shared" si="36"/>
        <v>0.11044176706827309</v>
      </c>
      <c r="X109" s="46">
        <f t="shared" si="36"/>
        <v>0.17142857142857143</v>
      </c>
      <c r="Y109" s="46">
        <f t="shared" si="36"/>
        <v>0.20481927710843373</v>
      </c>
      <c r="Z109" s="46">
        <f t="shared" si="36"/>
        <v>0.45333333333333331</v>
      </c>
      <c r="AA109" s="46">
        <f t="shared" si="36"/>
        <v>0.39393939393939392</v>
      </c>
      <c r="AB109" s="44">
        <f t="shared" si="36"/>
        <v>0.17480916030534352</v>
      </c>
      <c r="AC109" s="46">
        <f t="shared" si="36"/>
        <v>0.14972273567467653</v>
      </c>
      <c r="AD109" s="46">
        <f t="shared" si="36"/>
        <v>0.13114754098360656</v>
      </c>
      <c r="AE109" s="46">
        <f t="shared" si="36"/>
        <v>0.45161290322580644</v>
      </c>
      <c r="AF109" s="46" t="s">
        <v>148</v>
      </c>
      <c r="AG109" s="46">
        <f>AG101/AG27</f>
        <v>0.12987012987012986</v>
      </c>
      <c r="AH109" s="46">
        <f>AH101/AH27</f>
        <v>0.36363636363636365</v>
      </c>
      <c r="AI109" s="46">
        <f>AI101/AI27</f>
        <v>0.25806451612903225</v>
      </c>
      <c r="AJ109" s="44">
        <f>AJ101/(AJ27-119)</f>
        <v>0.16265060240963855</v>
      </c>
    </row>
    <row r="110" spans="2:36" ht="15.75" customHeight="1">
      <c r="B110" s="131"/>
      <c r="C110" s="131"/>
      <c r="D110" s="131"/>
      <c r="E110" s="285"/>
      <c r="F110" s="286"/>
      <c r="G110" s="286"/>
      <c r="H110" s="286"/>
      <c r="I110" s="286"/>
      <c r="J110" s="286"/>
      <c r="K110" s="286"/>
      <c r="L110" s="286"/>
      <c r="M110" s="286"/>
      <c r="N110" s="288"/>
      <c r="O110" s="288"/>
      <c r="P110" s="288"/>
      <c r="Q110" s="288"/>
      <c r="R110" s="288"/>
      <c r="S110" s="288"/>
      <c r="T110" s="288"/>
      <c r="U110" s="288"/>
      <c r="V110" s="288"/>
      <c r="W110" s="288"/>
      <c r="X110" s="288"/>
      <c r="Y110" s="288"/>
      <c r="Z110" s="288"/>
      <c r="AA110" s="288"/>
      <c r="AB110" s="288"/>
      <c r="AC110" s="288"/>
      <c r="AD110" s="288"/>
      <c r="AE110" s="288"/>
      <c r="AF110" s="288"/>
      <c r="AG110" s="288"/>
      <c r="AH110" s="288"/>
      <c r="AI110" s="288"/>
      <c r="AJ110" s="288"/>
    </row>
    <row r="111" spans="2:36" ht="15.75" customHeight="1">
      <c r="B111" s="131"/>
      <c r="C111" s="132"/>
      <c r="D111" s="132"/>
      <c r="E111" s="7" t="s">
        <v>160</v>
      </c>
      <c r="F111" s="8"/>
      <c r="G111" s="8"/>
      <c r="H111" s="8"/>
      <c r="I111" s="8"/>
      <c r="J111" s="8"/>
      <c r="K111" s="8"/>
      <c r="L111" s="8"/>
      <c r="M111" s="8"/>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2:36" ht="15.75" customHeight="1">
      <c r="B112" s="131"/>
      <c r="C112" s="132"/>
      <c r="D112" s="132"/>
      <c r="E112" s="9"/>
      <c r="F112" s="10" t="s">
        <v>161</v>
      </c>
      <c r="G112" s="144">
        <v>5032</v>
      </c>
      <c r="H112" s="144">
        <v>3866</v>
      </c>
      <c r="I112" s="144">
        <v>1093</v>
      </c>
      <c r="J112" s="144">
        <v>423</v>
      </c>
      <c r="K112" s="144">
        <v>88</v>
      </c>
      <c r="L112" s="10"/>
      <c r="M112" s="762" t="s">
        <v>93</v>
      </c>
      <c r="N112" s="11">
        <f>SUM(G112:M112)</f>
        <v>10502</v>
      </c>
      <c r="O112" s="12">
        <v>4124</v>
      </c>
      <c r="P112" s="12">
        <v>3731</v>
      </c>
      <c r="Q112" s="12">
        <v>335</v>
      </c>
      <c r="R112" s="12">
        <v>221</v>
      </c>
      <c r="S112" s="12">
        <v>1214</v>
      </c>
      <c r="T112" s="762" t="s">
        <v>93</v>
      </c>
      <c r="U112" s="11">
        <f>SUM(O112:T112)</f>
        <v>9625</v>
      </c>
      <c r="V112" s="12">
        <v>5828</v>
      </c>
      <c r="W112" s="12">
        <v>3521</v>
      </c>
      <c r="X112" s="12">
        <f>370+9</f>
        <v>379</v>
      </c>
      <c r="Y112" s="12">
        <v>0</v>
      </c>
      <c r="Z112" s="12">
        <v>363</v>
      </c>
      <c r="AA112" s="762" t="s">
        <v>93</v>
      </c>
      <c r="AB112" s="11">
        <f>SUM(V112:AA112)</f>
        <v>10091</v>
      </c>
      <c r="AC112" s="12">
        <v>5537</v>
      </c>
      <c r="AD112" s="12">
        <v>1775</v>
      </c>
      <c r="AE112" s="12">
        <v>419</v>
      </c>
      <c r="AF112" s="12">
        <v>79</v>
      </c>
      <c r="AG112" s="12" t="s">
        <v>93</v>
      </c>
      <c r="AH112" s="12" t="s">
        <v>93</v>
      </c>
      <c r="AI112" s="12" t="s">
        <v>93</v>
      </c>
      <c r="AJ112" s="11">
        <f>SUM(AC112:AI112)</f>
        <v>7810</v>
      </c>
    </row>
    <row r="113" spans="2:36" ht="15.75" customHeight="1">
      <c r="B113" s="132"/>
      <c r="C113" s="131"/>
      <c r="D113" s="131"/>
      <c r="E113" s="14"/>
      <c r="F113" s="14" t="s">
        <v>162</v>
      </c>
      <c r="G113" s="145">
        <f>G112/(G27*(23))</f>
        <v>0.3906832298136646</v>
      </c>
      <c r="H113" s="43">
        <f>H112/(H27*(23))</f>
        <v>0.33684760825999827</v>
      </c>
      <c r="I113" s="43">
        <f>I112/(I27*(23))</f>
        <v>0.22737674225088414</v>
      </c>
      <c r="J113" s="145">
        <f>J112/(J27*(23))</f>
        <v>0.22428419936373276</v>
      </c>
      <c r="K113" s="43">
        <f>K112/(K27*(23))</f>
        <v>4.9052396878483832E-2</v>
      </c>
      <c r="L113" s="43"/>
      <c r="M113" s="756"/>
      <c r="N113" s="44">
        <f t="shared" ref="N113:S113" si="37">N112/(N27*(23))</f>
        <v>0.31555542201255971</v>
      </c>
      <c r="O113" s="46">
        <f t="shared" si="37"/>
        <v>0.32660172645917479</v>
      </c>
      <c r="P113" s="46">
        <f t="shared" si="37"/>
        <v>0.3250849525137231</v>
      </c>
      <c r="Q113" s="46">
        <f t="shared" si="37"/>
        <v>0.18915866741953699</v>
      </c>
      <c r="R113" s="46">
        <f t="shared" si="37"/>
        <v>0.12162905888827738</v>
      </c>
      <c r="S113" s="46">
        <f t="shared" si="37"/>
        <v>0.64369034994697771</v>
      </c>
      <c r="T113" s="756"/>
      <c r="U113" s="44">
        <f t="shared" ref="U113:Z113" si="38">U112/(U27*(23))</f>
        <v>0.3206729968349159</v>
      </c>
      <c r="V113" s="46">
        <f t="shared" si="38"/>
        <v>0.45987532549514715</v>
      </c>
      <c r="W113" s="46">
        <f t="shared" si="38"/>
        <v>0.30740352715208663</v>
      </c>
      <c r="X113" s="46">
        <f t="shared" si="38"/>
        <v>0.23540372670807452</v>
      </c>
      <c r="Y113" s="46">
        <f t="shared" si="38"/>
        <v>0</v>
      </c>
      <c r="Z113" s="46">
        <f t="shared" si="38"/>
        <v>0.21043478260869566</v>
      </c>
      <c r="AA113" s="756"/>
      <c r="AB113" s="44">
        <f>AB112/(AB27*(23))</f>
        <v>0.33491536674410888</v>
      </c>
      <c r="AC113" s="45">
        <f t="shared" ref="AC113:AJ113" si="39">+AC114*12</f>
        <v>0.39364424854258495</v>
      </c>
      <c r="AD113" s="45">
        <f t="shared" si="39"/>
        <v>0.15988110250405332</v>
      </c>
      <c r="AE113" s="45">
        <f t="shared" si="39"/>
        <v>0.51985111662531014</v>
      </c>
      <c r="AF113" s="45">
        <f t="shared" si="39"/>
        <v>2.5533290239172592E-2</v>
      </c>
      <c r="AG113" s="45" t="e">
        <f t="shared" si="39"/>
        <v>#VALUE!</v>
      </c>
      <c r="AH113" s="45" t="e">
        <f t="shared" si="39"/>
        <v>#VALUE!</v>
      </c>
      <c r="AI113" s="45" t="e">
        <f t="shared" si="39"/>
        <v>#VALUE!</v>
      </c>
      <c r="AJ113" s="47">
        <f t="shared" si="39"/>
        <v>0.26868033576441447</v>
      </c>
    </row>
    <row r="114" spans="2:36" ht="15.75" customHeight="1">
      <c r="B114" s="132"/>
      <c r="C114" s="131"/>
      <c r="D114" s="131"/>
      <c r="E114" s="13"/>
      <c r="F114" s="14" t="s">
        <v>163</v>
      </c>
      <c r="G114" s="145">
        <f>G113/12</f>
        <v>3.2556935817805381E-2</v>
      </c>
      <c r="H114" s="43">
        <f>H113/12</f>
        <v>2.8070634021666523E-2</v>
      </c>
      <c r="I114" s="43">
        <f>I113/12</f>
        <v>1.8948061854240344E-2</v>
      </c>
      <c r="J114" s="145">
        <f>J113/12</f>
        <v>1.8690349946977731E-2</v>
      </c>
      <c r="K114" s="43">
        <f>K113/12</f>
        <v>4.087699739873653E-3</v>
      </c>
      <c r="L114" s="43"/>
      <c r="M114" s="757"/>
      <c r="N114" s="44">
        <f t="shared" ref="N114:S114" si="40">N113/12</f>
        <v>2.6296285167713308E-2</v>
      </c>
      <c r="O114" s="46">
        <f t="shared" si="40"/>
        <v>2.7216810538264566E-2</v>
      </c>
      <c r="P114" s="46">
        <f t="shared" si="40"/>
        <v>2.7090412709476926E-2</v>
      </c>
      <c r="Q114" s="46">
        <f t="shared" si="40"/>
        <v>1.5763222284961416E-2</v>
      </c>
      <c r="R114" s="46">
        <f t="shared" si="40"/>
        <v>1.0135754907356449E-2</v>
      </c>
      <c r="S114" s="46">
        <f t="shared" si="40"/>
        <v>5.3640862495581476E-2</v>
      </c>
      <c r="T114" s="757"/>
      <c r="U114" s="44">
        <f t="shared" ref="U114:Z114" si="41">U113/12</f>
        <v>2.6722749736242991E-2</v>
      </c>
      <c r="V114" s="46">
        <f t="shared" si="41"/>
        <v>3.8322943791262262E-2</v>
      </c>
      <c r="W114" s="46">
        <f t="shared" si="41"/>
        <v>2.561696059600722E-2</v>
      </c>
      <c r="X114" s="46">
        <f t="shared" si="41"/>
        <v>1.9616977225672877E-2</v>
      </c>
      <c r="Y114" s="46">
        <f t="shared" si="41"/>
        <v>0</v>
      </c>
      <c r="Z114" s="46">
        <f t="shared" si="41"/>
        <v>1.7536231884057972E-2</v>
      </c>
      <c r="AA114" s="757"/>
      <c r="AB114" s="44">
        <f>AB113/12</f>
        <v>2.7909613895342408E-2</v>
      </c>
      <c r="AC114" s="46">
        <f t="shared" ref="AC114:AI114" si="42">AC112/(AC27*(26*12))</f>
        <v>3.2803687378548746E-2</v>
      </c>
      <c r="AD114" s="46">
        <f t="shared" si="42"/>
        <v>1.332342520867111E-2</v>
      </c>
      <c r="AE114" s="46">
        <f t="shared" si="42"/>
        <v>4.3320926385442514E-2</v>
      </c>
      <c r="AF114" s="46">
        <f t="shared" si="42"/>
        <v>2.1277741865977158E-3</v>
      </c>
      <c r="AG114" s="46" t="e">
        <f t="shared" si="42"/>
        <v>#VALUE!</v>
      </c>
      <c r="AH114" s="46" t="e">
        <f t="shared" si="42"/>
        <v>#VALUE!</v>
      </c>
      <c r="AI114" s="46" t="e">
        <f t="shared" si="42"/>
        <v>#VALUE!</v>
      </c>
      <c r="AJ114" s="44">
        <f>AJ112/(1118*(26*12))</f>
        <v>2.2390027980367874E-2</v>
      </c>
    </row>
    <row r="115" spans="2:36" ht="15.75" customHeight="1">
      <c r="B115" s="131"/>
      <c r="C115" s="131"/>
      <c r="D115" s="131"/>
      <c r="E115" s="285"/>
      <c r="F115" s="286"/>
      <c r="G115" s="286"/>
      <c r="H115" s="286"/>
      <c r="I115" s="286"/>
      <c r="J115" s="286"/>
      <c r="K115" s="286"/>
      <c r="L115" s="286"/>
      <c r="M115" s="286"/>
      <c r="N115" s="288"/>
      <c r="O115" s="288"/>
      <c r="P115" s="288"/>
      <c r="Q115" s="288"/>
      <c r="R115" s="288"/>
      <c r="S115" s="288"/>
      <c r="T115" s="288"/>
      <c r="U115" s="288"/>
      <c r="V115" s="288"/>
      <c r="W115" s="288"/>
      <c r="X115" s="288"/>
      <c r="Y115" s="288"/>
      <c r="Z115" s="288"/>
      <c r="AA115" s="288"/>
      <c r="AB115" s="288"/>
      <c r="AC115" s="288"/>
      <c r="AD115" s="288"/>
      <c r="AE115" s="288"/>
      <c r="AF115" s="288"/>
      <c r="AG115" s="288"/>
      <c r="AH115" s="288"/>
      <c r="AI115" s="288"/>
      <c r="AJ115" s="288"/>
    </row>
    <row r="116" spans="2:36" ht="15.75" customHeight="1">
      <c r="B116" s="131"/>
      <c r="C116" s="131"/>
      <c r="D116" s="131"/>
      <c r="E116" s="7" t="s">
        <v>164</v>
      </c>
      <c r="F116" s="8"/>
      <c r="G116" s="8"/>
      <c r="H116" s="8"/>
      <c r="I116" s="8"/>
      <c r="J116" s="8"/>
      <c r="K116" s="8"/>
      <c r="L116" s="8"/>
      <c r="M116" s="8"/>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2:36" ht="15.75" customHeight="1">
      <c r="B117" s="131" t="s">
        <v>485</v>
      </c>
      <c r="C117" s="132"/>
      <c r="D117" s="132"/>
      <c r="E117" s="9"/>
      <c r="F117" s="48" t="s">
        <v>165</v>
      </c>
      <c r="G117" s="12">
        <v>16984</v>
      </c>
      <c r="H117" s="12">
        <v>2791</v>
      </c>
      <c r="I117" s="12">
        <v>33892</v>
      </c>
      <c r="J117" s="12" t="s">
        <v>93</v>
      </c>
      <c r="K117" s="12">
        <v>120</v>
      </c>
      <c r="L117" s="12" t="s">
        <v>93</v>
      </c>
      <c r="M117" s="12" t="s">
        <v>93</v>
      </c>
      <c r="N117" s="11">
        <f>SUM(G117:M117)</f>
        <v>53787</v>
      </c>
      <c r="O117" s="12" t="e">
        <f>12840+'Health and Safety'!#REF!+190.48</f>
        <v>#REF!</v>
      </c>
      <c r="P117" s="12" t="e">
        <f>5105+'Health and Safety'!#REF!+175.7</f>
        <v>#REF!</v>
      </c>
      <c r="Q117" s="12" t="e">
        <f>3592+'Health and Safety'!#REF!+75.72</f>
        <v>#REF!</v>
      </c>
      <c r="R117" s="12">
        <f>1110+210.18</f>
        <v>1320.18</v>
      </c>
      <c r="S117" s="33">
        <f>20.88+38.4+765.5</f>
        <v>824.78</v>
      </c>
      <c r="T117" s="33" t="s">
        <v>93</v>
      </c>
      <c r="U117" s="11" t="e">
        <f>SUM(O117:T117)</f>
        <v>#REF!</v>
      </c>
      <c r="V117" s="12">
        <f>8828+2796+5772</f>
        <v>17396</v>
      </c>
      <c r="W117" s="12">
        <f>6260+11434</f>
        <v>17694</v>
      </c>
      <c r="X117" s="12">
        <f>3266+734</f>
        <v>4000</v>
      </c>
      <c r="Y117" s="12">
        <v>1958</v>
      </c>
      <c r="Z117" s="33" t="s">
        <v>26</v>
      </c>
      <c r="AA117" s="33" t="s">
        <v>26</v>
      </c>
      <c r="AB117" s="11">
        <f>SUM(V117:AA117)</f>
        <v>41048</v>
      </c>
      <c r="AC117" s="12">
        <v>31312</v>
      </c>
      <c r="AD117" s="12">
        <v>15440</v>
      </c>
      <c r="AE117" s="12">
        <v>258</v>
      </c>
      <c r="AF117" s="12">
        <v>6281</v>
      </c>
      <c r="AG117" s="12"/>
      <c r="AH117" s="12"/>
      <c r="AI117" s="12"/>
      <c r="AJ117" s="11">
        <f>SUM(AC117:AI117)</f>
        <v>53291</v>
      </c>
    </row>
    <row r="118" spans="2:36" ht="15.75" customHeight="1">
      <c r="B118" s="131" t="s">
        <v>485</v>
      </c>
      <c r="C118" s="131"/>
      <c r="D118" s="131"/>
      <c r="E118" s="9"/>
      <c r="F118" s="48" t="s">
        <v>166</v>
      </c>
      <c r="G118" s="12">
        <v>1862</v>
      </c>
      <c r="H118" s="12">
        <v>474</v>
      </c>
      <c r="I118" s="12">
        <v>11426</v>
      </c>
      <c r="J118" s="12" t="s">
        <v>93</v>
      </c>
      <c r="K118" s="12">
        <v>80</v>
      </c>
      <c r="L118" s="12"/>
      <c r="M118" s="12" t="s">
        <v>93</v>
      </c>
      <c r="N118" s="11">
        <f>SUM(G118:M118)</f>
        <v>13842</v>
      </c>
      <c r="O118" s="12" t="e">
        <f>958+'Health and Safety'!#REF!+96.3</f>
        <v>#REF!</v>
      </c>
      <c r="P118" s="12" t="e">
        <f>1576+'Health and Safety'!#REF!+33.48</f>
        <v>#REF!</v>
      </c>
      <c r="Q118" s="12" t="e">
        <f>767+'Health and Safety'!#REF!+16.65</f>
        <v>#REF!</v>
      </c>
      <c r="R118" s="12">
        <f>946+204.19</f>
        <v>1150.19</v>
      </c>
      <c r="S118" s="33">
        <f>0.5+43.75+177.5</f>
        <v>221.75</v>
      </c>
      <c r="T118" s="33" t="s">
        <v>93</v>
      </c>
      <c r="U118" s="11" t="e">
        <f>SUM(O118:T118)</f>
        <v>#REF!</v>
      </c>
      <c r="V118" s="12">
        <f>163+698+1019</f>
        <v>1880</v>
      </c>
      <c r="W118" s="12">
        <f>2569+198</f>
        <v>2767</v>
      </c>
      <c r="X118" s="12">
        <f>1093+474</f>
        <v>1567</v>
      </c>
      <c r="Y118" s="12">
        <v>1705</v>
      </c>
      <c r="Z118" s="33" t="s">
        <v>26</v>
      </c>
      <c r="AA118" s="33" t="s">
        <v>26</v>
      </c>
      <c r="AB118" s="11">
        <f>SUM(V118:AA118)</f>
        <v>7919</v>
      </c>
      <c r="AC118" s="12">
        <v>3614</v>
      </c>
      <c r="AD118" s="12">
        <v>837</v>
      </c>
      <c r="AE118" s="12">
        <v>186</v>
      </c>
      <c r="AF118" s="12">
        <v>394</v>
      </c>
      <c r="AG118" s="12"/>
      <c r="AH118" s="12"/>
      <c r="AI118" s="12"/>
      <c r="AJ118" s="11">
        <f>SUM(AC118:AI118)</f>
        <v>5031</v>
      </c>
    </row>
    <row r="119" spans="2:36" ht="15.75" customHeight="1">
      <c r="B119" s="132"/>
      <c r="C119" s="131"/>
      <c r="D119" s="131"/>
      <c r="E119" s="13"/>
      <c r="F119" s="49" t="s">
        <v>167</v>
      </c>
      <c r="G119" s="146">
        <f>SUM(G117:G118)</f>
        <v>18846</v>
      </c>
      <c r="H119" s="146">
        <f>SUM(H117:H118)</f>
        <v>3265</v>
      </c>
      <c r="I119" s="146">
        <f>SUM(I117:I118)</f>
        <v>45318</v>
      </c>
      <c r="J119" s="31" t="s">
        <v>93</v>
      </c>
      <c r="K119" s="147">
        <f>SUM(K117:K118)</f>
        <v>200</v>
      </c>
      <c r="L119" s="31" t="s">
        <v>93</v>
      </c>
      <c r="M119" s="31" t="s">
        <v>93</v>
      </c>
      <c r="N119" s="18">
        <f t="shared" ref="N119:S119" si="43">SUM(N117:N118)</f>
        <v>67629</v>
      </c>
      <c r="O119" s="17" t="e">
        <f t="shared" si="43"/>
        <v>#REF!</v>
      </c>
      <c r="P119" s="17" t="e">
        <f t="shared" si="43"/>
        <v>#REF!</v>
      </c>
      <c r="Q119" s="17" t="e">
        <f t="shared" si="43"/>
        <v>#REF!</v>
      </c>
      <c r="R119" s="17">
        <f t="shared" si="43"/>
        <v>2470.37</v>
      </c>
      <c r="S119" s="17">
        <f t="shared" si="43"/>
        <v>1046.53</v>
      </c>
      <c r="T119" s="33" t="s">
        <v>93</v>
      </c>
      <c r="U119" s="18" t="e">
        <f>SUM(U117:U118)</f>
        <v>#REF!</v>
      </c>
      <c r="V119" s="17">
        <f>SUM(V117:V118)</f>
        <v>19276</v>
      </c>
      <c r="W119" s="17">
        <f>SUM(W117:W118)</f>
        <v>20461</v>
      </c>
      <c r="X119" s="17">
        <f>SUM(X117:X118)</f>
        <v>5567</v>
      </c>
      <c r="Y119" s="17">
        <f>SUM(Y117:Y118)</f>
        <v>3663</v>
      </c>
      <c r="Z119" s="17">
        <v>1048</v>
      </c>
      <c r="AA119" s="51">
        <f t="shared" ref="AA119:AJ119" si="44">SUM(AA117:AA118)</f>
        <v>0</v>
      </c>
      <c r="AB119" s="18">
        <f t="shared" si="44"/>
        <v>48967</v>
      </c>
      <c r="AC119" s="17">
        <f t="shared" si="44"/>
        <v>34926</v>
      </c>
      <c r="AD119" s="17">
        <f t="shared" si="44"/>
        <v>16277</v>
      </c>
      <c r="AE119" s="17">
        <f t="shared" si="44"/>
        <v>444</v>
      </c>
      <c r="AF119" s="17">
        <f t="shared" si="44"/>
        <v>6675</v>
      </c>
      <c r="AG119" s="17">
        <f t="shared" si="44"/>
        <v>0</v>
      </c>
      <c r="AH119" s="17">
        <f t="shared" si="44"/>
        <v>0</v>
      </c>
      <c r="AI119" s="17">
        <f t="shared" si="44"/>
        <v>0</v>
      </c>
      <c r="AJ119" s="18">
        <f t="shared" si="44"/>
        <v>58322</v>
      </c>
    </row>
    <row r="120" spans="2:36" ht="15.75" customHeight="1">
      <c r="B120" s="131"/>
      <c r="C120" s="131"/>
      <c r="D120" s="131"/>
      <c r="E120" s="9"/>
      <c r="F120" s="48" t="s">
        <v>168</v>
      </c>
      <c r="G120" s="12">
        <v>18846</v>
      </c>
      <c r="H120" s="12">
        <v>3265</v>
      </c>
      <c r="I120" s="12">
        <v>45318</v>
      </c>
      <c r="J120" s="12" t="s">
        <v>93</v>
      </c>
      <c r="K120" s="12">
        <v>200</v>
      </c>
      <c r="L120" s="12" t="s">
        <v>93</v>
      </c>
      <c r="M120" s="12" t="s">
        <v>93</v>
      </c>
      <c r="N120" s="11">
        <f>SUM(G120:M120)</f>
        <v>67629</v>
      </c>
      <c r="O120" s="12" t="e">
        <f>10368+'Health and Safety'!#REF!</f>
        <v>#REF!</v>
      </c>
      <c r="P120" s="12" t="e">
        <f>2308+'Health and Safety'!#REF!</f>
        <v>#REF!</v>
      </c>
      <c r="Q120" s="12" t="e">
        <f>1268+'Health and Safety'!#REF!</f>
        <v>#REF!</v>
      </c>
      <c r="R120" s="12">
        <v>0</v>
      </c>
      <c r="S120" s="33">
        <v>775</v>
      </c>
      <c r="T120" s="33" t="s">
        <v>93</v>
      </c>
      <c r="U120" s="11" t="e">
        <f>SUM(O120:T120)</f>
        <v>#REF!</v>
      </c>
      <c r="V120" s="12">
        <f>8828+163</f>
        <v>8991</v>
      </c>
      <c r="W120" s="12">
        <f>2333+11100</f>
        <v>13433</v>
      </c>
      <c r="X120" s="12">
        <f>687+448</f>
        <v>1135</v>
      </c>
      <c r="Y120" s="12">
        <v>0</v>
      </c>
      <c r="Z120" s="33" t="s">
        <v>26</v>
      </c>
      <c r="AA120" s="33" t="s">
        <v>26</v>
      </c>
      <c r="AB120" s="11">
        <f>SUM(V120:AA120)</f>
        <v>23559</v>
      </c>
      <c r="AC120" s="12">
        <v>25488</v>
      </c>
      <c r="AD120" s="12">
        <v>12328</v>
      </c>
      <c r="AE120" s="12">
        <v>157</v>
      </c>
      <c r="AF120" s="12">
        <v>5084</v>
      </c>
      <c r="AG120" s="12">
        <f>SUM(AG118:AG119)</f>
        <v>0</v>
      </c>
      <c r="AH120" s="12"/>
      <c r="AI120" s="12">
        <f>SUM(AI118:AI119)</f>
        <v>0</v>
      </c>
      <c r="AJ120" s="11">
        <f>SUM(AC120:AI120)</f>
        <v>43057</v>
      </c>
    </row>
    <row r="121" spans="2:36" ht="15.75" customHeight="1">
      <c r="B121" s="131"/>
      <c r="C121" s="131"/>
      <c r="D121" s="131"/>
      <c r="E121" s="9"/>
      <c r="F121" s="48" t="s">
        <v>169</v>
      </c>
      <c r="G121" s="12">
        <v>13125</v>
      </c>
      <c r="H121" s="12">
        <v>885</v>
      </c>
      <c r="I121" s="12">
        <v>32745</v>
      </c>
      <c r="J121" s="12" t="s">
        <v>93</v>
      </c>
      <c r="K121" s="12" t="s">
        <v>93</v>
      </c>
      <c r="L121" s="12" t="s">
        <v>93</v>
      </c>
      <c r="M121" s="12" t="s">
        <v>93</v>
      </c>
      <c r="N121" s="11">
        <f>SUM(G121:M121)</f>
        <v>46755</v>
      </c>
      <c r="O121" s="12" t="e">
        <f>3430+'Health and Safety'!#REF!+286.81</f>
        <v>#REF!</v>
      </c>
      <c r="P121" s="12" t="e">
        <f>4373+'Health and Safety'!#REF!+209.18</f>
        <v>#REF!</v>
      </c>
      <c r="Q121" s="12" t="e">
        <f>3091+'Health and Safety'!#REF!+92.3</f>
        <v>#REF!</v>
      </c>
      <c r="R121" s="12">
        <f>2056+414.3</f>
        <v>2470.3000000000002</v>
      </c>
      <c r="S121" s="33">
        <f>82.15+21.6+168</f>
        <v>271.75</v>
      </c>
      <c r="T121" s="33" t="s">
        <v>93</v>
      </c>
      <c r="U121" s="11" t="e">
        <f>SUM(O121:T121)</f>
        <v>#REF!</v>
      </c>
      <c r="V121" s="12">
        <f>2796+698</f>
        <v>3494</v>
      </c>
      <c r="W121" s="12">
        <f>6496+532</f>
        <v>7028</v>
      </c>
      <c r="X121" s="12">
        <f>3672+760</f>
        <v>4432</v>
      </c>
      <c r="Y121" s="12">
        <f>Y119</f>
        <v>3663</v>
      </c>
      <c r="Z121" s="33" t="s">
        <v>26</v>
      </c>
      <c r="AA121" s="33" t="s">
        <v>26</v>
      </c>
      <c r="AB121" s="11">
        <f>SUM(V121:AA121)</f>
        <v>18617</v>
      </c>
      <c r="AC121" s="12">
        <v>9438</v>
      </c>
      <c r="AD121" s="12">
        <v>3949</v>
      </c>
      <c r="AE121" s="12">
        <v>287</v>
      </c>
      <c r="AF121" s="12">
        <v>1591</v>
      </c>
      <c r="AG121" s="12">
        <f>SUM(AG119:AG120)</f>
        <v>0</v>
      </c>
      <c r="AH121" s="12"/>
      <c r="AI121" s="12">
        <f>SUM(AI119:AI120)</f>
        <v>0</v>
      </c>
      <c r="AJ121" s="11">
        <f>SUM(AC121:AI121)</f>
        <v>15265</v>
      </c>
    </row>
    <row r="122" spans="2:36" ht="15.75" customHeight="1">
      <c r="B122" s="131"/>
      <c r="C122" s="131"/>
      <c r="D122" s="131"/>
      <c r="E122" s="9"/>
      <c r="F122" s="10" t="s">
        <v>170</v>
      </c>
      <c r="G122" s="12">
        <f>G119/G27</f>
        <v>33.653571428571432</v>
      </c>
      <c r="H122" s="12">
        <f>H119/H27</f>
        <v>6.5430861723446894</v>
      </c>
      <c r="I122" s="12">
        <f>I119/I27</f>
        <v>216.83253588516746</v>
      </c>
      <c r="J122" s="12" t="s">
        <v>93</v>
      </c>
      <c r="K122" s="12">
        <f>K119/K27</f>
        <v>2.5641025641025643</v>
      </c>
      <c r="L122" s="12" t="e">
        <f>L119/L27</f>
        <v>#VALUE!</v>
      </c>
      <c r="M122" s="12" t="s">
        <v>93</v>
      </c>
      <c r="N122" s="11">
        <f t="shared" ref="N122:U122" si="45">N119/N27</f>
        <v>46.737387698686938</v>
      </c>
      <c r="O122" s="52" t="e">
        <f t="shared" si="45"/>
        <v>#REF!</v>
      </c>
      <c r="P122" s="52" t="e">
        <f t="shared" si="45"/>
        <v>#REF!</v>
      </c>
      <c r="Q122" s="52" t="e">
        <f t="shared" si="45"/>
        <v>#REF!</v>
      </c>
      <c r="R122" s="52">
        <f t="shared" si="45"/>
        <v>31.270506329113921</v>
      </c>
      <c r="S122" s="52">
        <f t="shared" si="45"/>
        <v>12.762560975609755</v>
      </c>
      <c r="T122" s="52" t="e">
        <f t="shared" si="45"/>
        <v>#VALUE!</v>
      </c>
      <c r="U122" s="11" t="e">
        <f t="shared" si="45"/>
        <v>#REF!</v>
      </c>
      <c r="V122" s="12">
        <f t="shared" ref="V122:Y123" si="46">V117/V25</f>
        <v>37.17094017094017</v>
      </c>
      <c r="W122" s="12">
        <f t="shared" si="46"/>
        <v>38.46521739130435</v>
      </c>
      <c r="X122" s="12">
        <f t="shared" si="46"/>
        <v>78.431372549019613</v>
      </c>
      <c r="Y122" s="12">
        <f t="shared" si="46"/>
        <v>39.159999999999997</v>
      </c>
      <c r="Z122" s="33" t="s">
        <v>26</v>
      </c>
      <c r="AA122" s="33" t="s">
        <v>26</v>
      </c>
      <c r="AB122" s="11">
        <f t="shared" ref="AB122:AJ122" si="47">AB117/AB25</f>
        <v>36.847396768402156</v>
      </c>
      <c r="AC122" s="12">
        <f t="shared" si="47"/>
        <v>67.049250535331907</v>
      </c>
      <c r="AD122" s="12">
        <f t="shared" si="47"/>
        <v>39.18781725888325</v>
      </c>
      <c r="AE122" s="12">
        <f t="shared" si="47"/>
        <v>11.727272727272727</v>
      </c>
      <c r="AF122" s="12">
        <f t="shared" si="47"/>
        <v>57.623853211009177</v>
      </c>
      <c r="AG122" s="12" t="e">
        <f t="shared" si="47"/>
        <v>#VALUE!</v>
      </c>
      <c r="AH122" s="12" t="e">
        <f t="shared" si="47"/>
        <v>#VALUE!</v>
      </c>
      <c r="AI122" s="12" t="e">
        <f t="shared" si="47"/>
        <v>#VALUE!</v>
      </c>
      <c r="AJ122" s="11">
        <f t="shared" si="47"/>
        <v>53.720766129032256</v>
      </c>
    </row>
    <row r="123" spans="2:36" ht="15.75" customHeight="1">
      <c r="B123" s="131"/>
      <c r="C123" s="132"/>
      <c r="D123" s="132"/>
      <c r="E123" s="9"/>
      <c r="F123" s="10" t="s">
        <v>171</v>
      </c>
      <c r="G123" s="12">
        <f t="shared" ref="G123:I124" si="48">G117/G25</f>
        <v>36.29059829059829</v>
      </c>
      <c r="H123" s="12">
        <f t="shared" si="48"/>
        <v>6.0673913043478258</v>
      </c>
      <c r="I123" s="12">
        <f t="shared" si="48"/>
        <v>194.7816091954023</v>
      </c>
      <c r="J123" s="12" t="s">
        <v>93</v>
      </c>
      <c r="K123" s="12">
        <f>K117/K25</f>
        <v>2.7272727272727271</v>
      </c>
      <c r="L123" s="12" t="e">
        <f>L117/L25</f>
        <v>#VALUE!</v>
      </c>
      <c r="M123" s="12" t="s">
        <v>93</v>
      </c>
      <c r="N123" s="11">
        <f t="shared" ref="N123:U123" si="49">N117/N25</f>
        <v>43.943627450980394</v>
      </c>
      <c r="O123" s="52" t="e">
        <f t="shared" si="49"/>
        <v>#REF!</v>
      </c>
      <c r="P123" s="52" t="e">
        <f t="shared" si="49"/>
        <v>#REF!</v>
      </c>
      <c r="Q123" s="52" t="e">
        <f t="shared" si="49"/>
        <v>#REF!</v>
      </c>
      <c r="R123" s="52">
        <f t="shared" si="49"/>
        <v>28.088936170212769</v>
      </c>
      <c r="S123" s="52">
        <f t="shared" si="49"/>
        <v>12.496666666666666</v>
      </c>
      <c r="T123" s="52" t="e">
        <f t="shared" si="49"/>
        <v>#VALUE!</v>
      </c>
      <c r="U123" s="11" t="e">
        <f t="shared" si="49"/>
        <v>#REF!</v>
      </c>
      <c r="V123" s="12">
        <f t="shared" si="46"/>
        <v>22.650602409638555</v>
      </c>
      <c r="W123" s="12">
        <f t="shared" si="46"/>
        <v>72.815789473684205</v>
      </c>
      <c r="X123" s="12">
        <f t="shared" si="46"/>
        <v>82.473684210526315</v>
      </c>
      <c r="Y123" s="12">
        <f t="shared" si="46"/>
        <v>51.666666666666664</v>
      </c>
      <c r="Z123" s="33" t="s">
        <v>26</v>
      </c>
      <c r="AA123" s="33" t="s">
        <v>26</v>
      </c>
      <c r="AB123" s="11">
        <f t="shared" ref="AB123:AJ123" si="50">AB118/AB26</f>
        <v>40.403061224489797</v>
      </c>
      <c r="AC123" s="12">
        <f t="shared" si="50"/>
        <v>48.837837837837839</v>
      </c>
      <c r="AD123" s="12">
        <f t="shared" si="50"/>
        <v>25.363636363636363</v>
      </c>
      <c r="AE123" s="12">
        <f t="shared" si="50"/>
        <v>20.666666666666668</v>
      </c>
      <c r="AF123" s="12">
        <f t="shared" si="50"/>
        <v>39.4</v>
      </c>
      <c r="AG123" s="12" t="e">
        <f t="shared" si="50"/>
        <v>#VALUE!</v>
      </c>
      <c r="AH123" s="12" t="e">
        <f t="shared" si="50"/>
        <v>#VALUE!</v>
      </c>
      <c r="AI123" s="12" t="e">
        <f t="shared" si="50"/>
        <v>#VALUE!</v>
      </c>
      <c r="AJ123" s="11">
        <f t="shared" si="50"/>
        <v>39.928571428571431</v>
      </c>
    </row>
    <row r="124" spans="2:36" ht="15.75" customHeight="1">
      <c r="B124" s="131"/>
      <c r="C124" s="131"/>
      <c r="D124" s="131"/>
      <c r="E124" s="9"/>
      <c r="F124" s="10" t="s">
        <v>172</v>
      </c>
      <c r="G124" s="12">
        <f t="shared" si="48"/>
        <v>20.239130434782609</v>
      </c>
      <c r="H124" s="12">
        <f t="shared" si="48"/>
        <v>12.153846153846153</v>
      </c>
      <c r="I124" s="12">
        <f t="shared" si="48"/>
        <v>326.45714285714286</v>
      </c>
      <c r="J124" s="12" t="s">
        <v>93</v>
      </c>
      <c r="K124" s="12">
        <f>K118/K26</f>
        <v>2.3529411764705883</v>
      </c>
      <c r="L124" s="12" t="e">
        <f>L118/L26</f>
        <v>#DIV/0!</v>
      </c>
      <c r="M124" s="12" t="s">
        <v>93</v>
      </c>
      <c r="N124" s="11">
        <f>N119/N27</f>
        <v>46.737387698686938</v>
      </c>
      <c r="O124" s="52" t="e">
        <f t="shared" ref="O124:U124" si="51">O118/O26</f>
        <v>#REF!</v>
      </c>
      <c r="P124" s="52" t="e">
        <f t="shared" si="51"/>
        <v>#REF!</v>
      </c>
      <c r="Q124" s="52" t="e">
        <f t="shared" si="51"/>
        <v>#REF!</v>
      </c>
      <c r="R124" s="52">
        <f t="shared" si="51"/>
        <v>35.943437500000002</v>
      </c>
      <c r="S124" s="52">
        <f t="shared" si="51"/>
        <v>13.859375</v>
      </c>
      <c r="T124" s="52" t="e">
        <f t="shared" si="51"/>
        <v>#VALUE!</v>
      </c>
      <c r="U124" s="11" t="e">
        <f t="shared" si="51"/>
        <v>#REF!</v>
      </c>
      <c r="V124" s="12">
        <f t="shared" ref="V124:AG124" si="52">V119/V27</f>
        <v>34.983666061705989</v>
      </c>
      <c r="W124" s="12">
        <f t="shared" si="52"/>
        <v>41.086345381526101</v>
      </c>
      <c r="X124" s="12">
        <f t="shared" si="52"/>
        <v>79.528571428571425</v>
      </c>
      <c r="Y124" s="12">
        <f t="shared" si="52"/>
        <v>44.132530120481931</v>
      </c>
      <c r="Z124" s="12">
        <f t="shared" si="52"/>
        <v>13.973333333333333</v>
      </c>
      <c r="AA124" s="12">
        <f t="shared" si="52"/>
        <v>0</v>
      </c>
      <c r="AB124" s="11">
        <f t="shared" si="52"/>
        <v>37.379389312977096</v>
      </c>
      <c r="AC124" s="12">
        <f t="shared" si="52"/>
        <v>64.558225508317932</v>
      </c>
      <c r="AD124" s="12">
        <f t="shared" si="52"/>
        <v>38.119437939110071</v>
      </c>
      <c r="AE124" s="12">
        <f t="shared" si="52"/>
        <v>14.32258064516129</v>
      </c>
      <c r="AF124" s="12">
        <f t="shared" si="52"/>
        <v>56.092436974789919</v>
      </c>
      <c r="AG124" s="12">
        <f t="shared" si="52"/>
        <v>0</v>
      </c>
      <c r="AH124" s="12"/>
      <c r="AI124" s="12">
        <f>AI119/AI27</f>
        <v>0</v>
      </c>
      <c r="AJ124" s="11">
        <f>AJ119/AJ27</f>
        <v>45.52849336455894</v>
      </c>
    </row>
    <row r="125" spans="2:36" ht="15.75" customHeight="1">
      <c r="B125" s="132"/>
      <c r="C125" s="131"/>
      <c r="D125" s="131"/>
      <c r="E125" s="23"/>
      <c r="F125" s="97"/>
      <c r="G125" s="97"/>
      <c r="H125" s="97"/>
      <c r="I125" s="97"/>
      <c r="J125" s="97"/>
      <c r="K125" s="97"/>
      <c r="L125" s="97"/>
      <c r="M125" s="97"/>
      <c r="N125" s="148"/>
      <c r="O125" s="148"/>
      <c r="P125" s="148"/>
      <c r="Q125" s="148"/>
      <c r="R125" s="148"/>
      <c r="S125" s="148"/>
      <c r="T125" s="148"/>
      <c r="U125" s="148"/>
      <c r="V125" s="148"/>
      <c r="W125" s="148"/>
      <c r="X125" s="148"/>
      <c r="Y125" s="148"/>
      <c r="Z125" s="148"/>
      <c r="AA125" s="148"/>
      <c r="AB125" s="148"/>
      <c r="AC125" s="148"/>
      <c r="AD125" s="148"/>
      <c r="AE125" s="148"/>
      <c r="AF125" s="148"/>
      <c r="AG125" s="148"/>
      <c r="AH125" s="148"/>
      <c r="AI125" s="148"/>
      <c r="AJ125" s="148"/>
    </row>
    <row r="126" spans="2:36" ht="15.75" customHeight="1">
      <c r="B126" s="131"/>
      <c r="C126" s="131"/>
      <c r="D126" s="131"/>
      <c r="E126" s="285"/>
      <c r="F126" s="286"/>
      <c r="G126" s="286"/>
      <c r="H126" s="286"/>
      <c r="I126" s="286"/>
      <c r="J126" s="286"/>
      <c r="K126" s="286"/>
      <c r="L126" s="286"/>
      <c r="M126" s="286"/>
      <c r="N126" s="290"/>
      <c r="O126" s="288"/>
      <c r="P126" s="288"/>
      <c r="Q126" s="288"/>
      <c r="R126" s="288"/>
      <c r="S126" s="288"/>
      <c r="T126" s="288"/>
      <c r="U126" s="290"/>
      <c r="V126" s="288"/>
      <c r="W126" s="288"/>
      <c r="X126" s="288"/>
      <c r="Y126" s="288"/>
      <c r="Z126" s="288"/>
      <c r="AA126" s="288"/>
      <c r="AB126" s="288"/>
      <c r="AC126" s="288"/>
      <c r="AD126" s="288"/>
      <c r="AE126" s="288"/>
      <c r="AF126" s="288"/>
      <c r="AG126" s="288"/>
      <c r="AH126" s="288"/>
      <c r="AI126" s="288"/>
      <c r="AJ126" s="288"/>
    </row>
    <row r="127" spans="2:36" ht="15.75" customHeight="1">
      <c r="B127" s="131"/>
      <c r="C127" s="131"/>
      <c r="D127" s="131"/>
      <c r="E127" s="7" t="s">
        <v>486</v>
      </c>
      <c r="F127" s="8"/>
      <c r="G127" s="8"/>
      <c r="H127" s="8"/>
      <c r="I127" s="8"/>
      <c r="J127" s="8"/>
      <c r="K127" s="8"/>
      <c r="L127" s="8"/>
      <c r="M127" s="8"/>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2:36" ht="15.75" customHeight="1">
      <c r="B128" s="309" t="s">
        <v>487</v>
      </c>
      <c r="C128" s="132"/>
      <c r="D128" s="132"/>
      <c r="E128" s="9"/>
      <c r="F128" s="149" t="s">
        <v>488</v>
      </c>
      <c r="G128" s="150">
        <v>6</v>
      </c>
      <c r="H128" s="150" t="s">
        <v>93</v>
      </c>
      <c r="I128" s="150" t="s">
        <v>93</v>
      </c>
      <c r="J128" s="150" t="s">
        <v>93</v>
      </c>
      <c r="K128" s="150" t="s">
        <v>93</v>
      </c>
      <c r="L128" s="150" t="s">
        <v>93</v>
      </c>
      <c r="M128" s="150" t="s">
        <v>93</v>
      </c>
      <c r="N128" s="11">
        <f t="shared" ref="N128:N135" si="53">SUM(G128:M128)</f>
        <v>6</v>
      </c>
      <c r="O128" s="12"/>
      <c r="P128" s="12"/>
      <c r="Q128" s="12"/>
      <c r="R128" s="12"/>
      <c r="S128" s="33"/>
      <c r="T128" s="33"/>
      <c r="U128" s="11"/>
      <c r="V128" s="12"/>
      <c r="W128" s="12"/>
      <c r="X128" s="12"/>
      <c r="Y128" s="12"/>
      <c r="Z128" s="33"/>
      <c r="AA128" s="33"/>
      <c r="AB128" s="11"/>
      <c r="AC128" s="12"/>
      <c r="AD128" s="12"/>
      <c r="AE128" s="12"/>
      <c r="AF128" s="12"/>
      <c r="AG128" s="12"/>
      <c r="AH128" s="12"/>
      <c r="AI128" s="12"/>
      <c r="AJ128" s="11"/>
    </row>
    <row r="129" spans="2:37" ht="15.75" customHeight="1">
      <c r="B129" s="309" t="s">
        <v>487</v>
      </c>
      <c r="C129" s="131"/>
      <c r="D129" s="131"/>
      <c r="E129" s="9"/>
      <c r="F129" s="149" t="s">
        <v>489</v>
      </c>
      <c r="G129" s="150" t="s">
        <v>93</v>
      </c>
      <c r="H129" s="150"/>
      <c r="I129" s="150" t="s">
        <v>93</v>
      </c>
      <c r="J129" s="150" t="s">
        <v>93</v>
      </c>
      <c r="K129" s="150" t="s">
        <v>93</v>
      </c>
      <c r="L129" s="150" t="s">
        <v>93</v>
      </c>
      <c r="M129" s="150" t="s">
        <v>93</v>
      </c>
      <c r="N129" s="11">
        <f t="shared" si="53"/>
        <v>0</v>
      </c>
      <c r="O129" s="12"/>
      <c r="P129" s="12"/>
      <c r="Q129" s="12"/>
      <c r="R129" s="12"/>
      <c r="S129" s="33"/>
      <c r="T129" s="33"/>
      <c r="U129" s="11"/>
      <c r="V129" s="12"/>
      <c r="W129" s="12"/>
      <c r="X129" s="12"/>
      <c r="Y129" s="12"/>
      <c r="Z129" s="33"/>
      <c r="AA129" s="33"/>
      <c r="AB129" s="11"/>
      <c r="AC129" s="12"/>
      <c r="AD129" s="12"/>
      <c r="AE129" s="12"/>
      <c r="AF129" s="12"/>
      <c r="AG129" s="12"/>
      <c r="AH129" s="12"/>
      <c r="AI129" s="12"/>
      <c r="AJ129" s="11"/>
      <c r="AK129" s="4"/>
    </row>
    <row r="130" spans="2:37" ht="15.75" customHeight="1">
      <c r="B130" s="309" t="s">
        <v>487</v>
      </c>
      <c r="C130" s="131"/>
      <c r="D130" s="131"/>
      <c r="E130" s="13"/>
      <c r="F130" s="151" t="s">
        <v>490</v>
      </c>
      <c r="G130" s="152" t="s">
        <v>93</v>
      </c>
      <c r="H130" s="152"/>
      <c r="I130" s="152" t="s">
        <v>93</v>
      </c>
      <c r="J130" s="152" t="s">
        <v>93</v>
      </c>
      <c r="K130" s="152" t="s">
        <v>93</v>
      </c>
      <c r="L130" s="152" t="s">
        <v>93</v>
      </c>
      <c r="M130" s="152" t="s">
        <v>93</v>
      </c>
      <c r="N130" s="11">
        <f t="shared" si="53"/>
        <v>0</v>
      </c>
      <c r="O130" s="17"/>
      <c r="P130" s="17"/>
      <c r="Q130" s="17"/>
      <c r="R130" s="17"/>
      <c r="S130" s="17"/>
      <c r="T130" s="33"/>
      <c r="U130" s="18"/>
      <c r="V130" s="17"/>
      <c r="W130" s="17"/>
      <c r="X130" s="17"/>
      <c r="Y130" s="17"/>
      <c r="Z130" s="17"/>
      <c r="AA130" s="51"/>
      <c r="AB130" s="18"/>
      <c r="AC130" s="17"/>
      <c r="AD130" s="17"/>
      <c r="AE130" s="17"/>
      <c r="AF130" s="17"/>
      <c r="AG130" s="17"/>
      <c r="AH130" s="17"/>
      <c r="AI130" s="17"/>
      <c r="AJ130" s="18"/>
      <c r="AK130" s="19"/>
    </row>
    <row r="131" spans="2:37" ht="15.75" customHeight="1">
      <c r="B131" s="309" t="s">
        <v>487</v>
      </c>
      <c r="C131" s="131"/>
      <c r="D131" s="131"/>
      <c r="E131" s="9"/>
      <c r="F131" s="149" t="s">
        <v>491</v>
      </c>
      <c r="G131" s="150">
        <v>9</v>
      </c>
      <c r="H131" s="150">
        <v>166</v>
      </c>
      <c r="I131" s="150">
        <v>3</v>
      </c>
      <c r="J131" s="150" t="s">
        <v>93</v>
      </c>
      <c r="K131" s="150">
        <v>20</v>
      </c>
      <c r="L131" s="150" t="s">
        <v>93</v>
      </c>
      <c r="M131" s="150" t="s">
        <v>93</v>
      </c>
      <c r="N131" s="11">
        <f t="shared" si="53"/>
        <v>198</v>
      </c>
      <c r="O131" s="12"/>
      <c r="P131" s="12"/>
      <c r="Q131" s="12"/>
      <c r="R131" s="12"/>
      <c r="S131" s="33"/>
      <c r="T131" s="33"/>
      <c r="U131" s="11"/>
      <c r="V131" s="12"/>
      <c r="W131" s="12"/>
      <c r="X131" s="12"/>
      <c r="Y131" s="12"/>
      <c r="Z131" s="33"/>
      <c r="AA131" s="33"/>
      <c r="AB131" s="11"/>
      <c r="AC131" s="12"/>
      <c r="AD131" s="12"/>
      <c r="AE131" s="12"/>
      <c r="AF131" s="12"/>
      <c r="AG131" s="12"/>
      <c r="AH131" s="12"/>
      <c r="AI131" s="12"/>
      <c r="AJ131" s="11"/>
      <c r="AK131" s="4"/>
    </row>
    <row r="132" spans="2:37" ht="15.75" customHeight="1">
      <c r="B132" s="309" t="s">
        <v>487</v>
      </c>
      <c r="C132" s="131"/>
      <c r="D132" s="131"/>
      <c r="E132" s="9"/>
      <c r="F132" s="149" t="s">
        <v>492</v>
      </c>
      <c r="G132" s="150">
        <v>175</v>
      </c>
      <c r="H132" s="150">
        <v>161</v>
      </c>
      <c r="I132" s="150">
        <v>2846</v>
      </c>
      <c r="J132" s="150" t="s">
        <v>93</v>
      </c>
      <c r="K132" s="150">
        <v>12</v>
      </c>
      <c r="L132" s="150" t="s">
        <v>93</v>
      </c>
      <c r="M132" s="150" t="s">
        <v>93</v>
      </c>
      <c r="N132" s="11">
        <f t="shared" si="53"/>
        <v>3194</v>
      </c>
      <c r="O132" s="12"/>
      <c r="P132" s="12"/>
      <c r="Q132" s="12"/>
      <c r="R132" s="12"/>
      <c r="S132" s="33"/>
      <c r="T132" s="33"/>
      <c r="U132" s="11"/>
      <c r="V132" s="12"/>
      <c r="W132" s="12"/>
      <c r="X132" s="12"/>
      <c r="Y132" s="12"/>
      <c r="Z132" s="33"/>
      <c r="AA132" s="33"/>
      <c r="AB132" s="11"/>
      <c r="AC132" s="12"/>
      <c r="AD132" s="12"/>
      <c r="AE132" s="12"/>
      <c r="AF132" s="12"/>
      <c r="AG132" s="12"/>
      <c r="AH132" s="12"/>
      <c r="AI132" s="12"/>
      <c r="AJ132" s="11"/>
      <c r="AK132" s="4"/>
    </row>
    <row r="133" spans="2:37" ht="15.75" customHeight="1">
      <c r="B133" s="309" t="s">
        <v>487</v>
      </c>
      <c r="C133" s="131"/>
      <c r="D133" s="131"/>
      <c r="E133" s="9"/>
      <c r="F133" s="109" t="s">
        <v>493</v>
      </c>
      <c r="G133" s="62" t="s">
        <v>93</v>
      </c>
      <c r="H133" s="62" t="s">
        <v>93</v>
      </c>
      <c r="I133" s="62" t="s">
        <v>93</v>
      </c>
      <c r="J133" s="62" t="s">
        <v>93</v>
      </c>
      <c r="K133" s="62" t="s">
        <v>93</v>
      </c>
      <c r="L133" s="62" t="s">
        <v>93</v>
      </c>
      <c r="M133" s="62" t="s">
        <v>93</v>
      </c>
      <c r="N133" s="11">
        <f t="shared" si="53"/>
        <v>0</v>
      </c>
      <c r="O133" s="12"/>
      <c r="P133" s="12"/>
      <c r="Q133" s="12"/>
      <c r="R133" s="12"/>
      <c r="S133" s="33"/>
      <c r="T133" s="33"/>
      <c r="U133" s="11"/>
      <c r="V133" s="12"/>
      <c r="W133" s="12"/>
      <c r="X133" s="12"/>
      <c r="Y133" s="12"/>
      <c r="Z133" s="33"/>
      <c r="AA133" s="33"/>
      <c r="AB133" s="11"/>
      <c r="AC133" s="12"/>
      <c r="AD133" s="12"/>
      <c r="AE133" s="12"/>
      <c r="AF133" s="12"/>
      <c r="AG133" s="12"/>
      <c r="AH133" s="12"/>
      <c r="AI133" s="12"/>
      <c r="AJ133" s="11"/>
      <c r="AK133" s="4"/>
    </row>
    <row r="134" spans="2:37" ht="15.75" customHeight="1">
      <c r="B134" s="309" t="s">
        <v>487</v>
      </c>
      <c r="C134" s="132"/>
      <c r="D134" s="132"/>
      <c r="E134" s="9"/>
      <c r="F134" s="109" t="s">
        <v>494</v>
      </c>
      <c r="G134" s="62">
        <v>1915</v>
      </c>
      <c r="H134" s="62">
        <v>509</v>
      </c>
      <c r="I134" s="62">
        <v>747</v>
      </c>
      <c r="J134" s="62" t="s">
        <v>93</v>
      </c>
      <c r="K134" s="62">
        <v>24</v>
      </c>
      <c r="L134" s="62"/>
      <c r="M134" s="62" t="s">
        <v>93</v>
      </c>
      <c r="N134" s="11">
        <f t="shared" si="53"/>
        <v>3195</v>
      </c>
      <c r="O134" s="12"/>
      <c r="P134" s="12"/>
      <c r="Q134" s="12"/>
      <c r="R134" s="12"/>
      <c r="S134" s="33"/>
      <c r="T134" s="33"/>
      <c r="U134" s="11"/>
      <c r="V134" s="12"/>
      <c r="W134" s="12"/>
      <c r="X134" s="12"/>
      <c r="Y134" s="12"/>
      <c r="Z134" s="33"/>
      <c r="AA134" s="33"/>
      <c r="AB134" s="11"/>
      <c r="AC134" s="12"/>
      <c r="AD134" s="12"/>
      <c r="AE134" s="12"/>
      <c r="AF134" s="12"/>
      <c r="AG134" s="12"/>
      <c r="AH134" s="12"/>
      <c r="AI134" s="12"/>
      <c r="AJ134" s="11"/>
      <c r="AK134" s="4"/>
    </row>
    <row r="135" spans="2:37" ht="15.75" customHeight="1">
      <c r="B135" s="309"/>
      <c r="C135" s="131"/>
      <c r="D135" s="131"/>
      <c r="E135" s="9"/>
      <c r="F135" s="10"/>
      <c r="G135" s="10"/>
      <c r="H135" s="10"/>
      <c r="I135" s="10"/>
      <c r="J135" s="10"/>
      <c r="K135" s="10"/>
      <c r="L135" s="10"/>
      <c r="M135" s="10"/>
      <c r="N135" s="11">
        <f t="shared" si="53"/>
        <v>0</v>
      </c>
      <c r="O135" s="12"/>
      <c r="P135" s="12"/>
      <c r="Q135" s="12"/>
      <c r="R135" s="12"/>
      <c r="S135" s="12"/>
      <c r="T135" s="33"/>
      <c r="U135" s="11"/>
      <c r="V135" s="12"/>
      <c r="W135" s="12"/>
      <c r="X135" s="12"/>
      <c r="Y135" s="12"/>
      <c r="Z135" s="12"/>
      <c r="AA135" s="12"/>
      <c r="AB135" s="11"/>
      <c r="AC135" s="12"/>
      <c r="AD135" s="12"/>
      <c r="AE135" s="12"/>
      <c r="AF135" s="12"/>
      <c r="AG135" s="12"/>
      <c r="AH135" s="12"/>
      <c r="AI135" s="12"/>
      <c r="AJ135" s="11"/>
      <c r="AK135" s="4"/>
    </row>
    <row r="136" spans="2:37" ht="15.75" customHeight="1">
      <c r="B136" s="131"/>
      <c r="C136" s="131"/>
      <c r="D136" s="131"/>
      <c r="E136" s="285"/>
      <c r="F136" s="286"/>
      <c r="G136" s="286"/>
      <c r="H136" s="286"/>
      <c r="I136" s="286"/>
      <c r="J136" s="286"/>
      <c r="K136" s="286"/>
      <c r="L136" s="286"/>
      <c r="M136" s="286"/>
      <c r="N136" s="290"/>
      <c r="O136" s="288"/>
      <c r="P136" s="288"/>
      <c r="Q136" s="288"/>
      <c r="R136" s="288"/>
      <c r="S136" s="288"/>
      <c r="T136" s="288"/>
      <c r="U136" s="290"/>
      <c r="V136" s="288"/>
      <c r="W136" s="288"/>
      <c r="X136" s="288"/>
      <c r="Y136" s="288"/>
      <c r="Z136" s="288"/>
      <c r="AA136" s="288"/>
      <c r="AB136" s="288"/>
      <c r="AC136" s="288"/>
      <c r="AD136" s="288"/>
      <c r="AE136" s="288"/>
      <c r="AF136" s="288"/>
      <c r="AG136" s="288"/>
      <c r="AH136" s="288"/>
      <c r="AI136" s="288"/>
      <c r="AJ136" s="288"/>
      <c r="AK136" s="25"/>
    </row>
    <row r="137" spans="2:37" ht="15.75" customHeight="1">
      <c r="B137" s="131"/>
      <c r="C137" s="131"/>
      <c r="D137" s="131"/>
      <c r="E137" s="7" t="s">
        <v>174</v>
      </c>
      <c r="F137" s="8"/>
      <c r="G137" s="8"/>
      <c r="H137" s="8"/>
      <c r="I137" s="8"/>
      <c r="J137" s="8"/>
      <c r="K137" s="8"/>
      <c r="L137" s="8"/>
      <c r="M137" s="8"/>
      <c r="N137" s="4"/>
      <c r="O137" s="4"/>
      <c r="P137" s="4"/>
      <c r="Q137" s="4"/>
      <c r="R137" s="4"/>
      <c r="S137" s="5"/>
      <c r="T137" s="4"/>
      <c r="U137" s="4"/>
      <c r="V137" s="4"/>
      <c r="W137" s="4"/>
      <c r="X137" s="4"/>
      <c r="Y137" s="4"/>
      <c r="Z137" s="4"/>
      <c r="AA137" s="4"/>
      <c r="AB137" s="4"/>
      <c r="AC137" s="4"/>
      <c r="AD137" s="4"/>
      <c r="AE137" s="4"/>
      <c r="AF137" s="4"/>
      <c r="AG137" s="4"/>
      <c r="AH137" s="4"/>
      <c r="AI137" s="4"/>
      <c r="AJ137" s="4"/>
      <c r="AK137" s="4"/>
    </row>
    <row r="138" spans="2:37" ht="15.75" customHeight="1">
      <c r="B138" s="131"/>
      <c r="C138" s="132"/>
      <c r="D138" s="132"/>
      <c r="E138" s="9"/>
      <c r="F138" s="48" t="s">
        <v>175</v>
      </c>
      <c r="G138" s="150">
        <v>8256</v>
      </c>
      <c r="H138" s="150">
        <v>522</v>
      </c>
      <c r="I138" s="150">
        <v>2887</v>
      </c>
      <c r="J138" s="150" t="s">
        <v>93</v>
      </c>
      <c r="K138" s="150" t="s">
        <v>93</v>
      </c>
      <c r="L138" s="150" t="s">
        <v>93</v>
      </c>
      <c r="M138" s="150" t="s">
        <v>93</v>
      </c>
      <c r="N138" s="11">
        <f>SUM(G138:M138)</f>
        <v>11665</v>
      </c>
      <c r="O138" s="12" t="e">
        <f>918+'Health and Safety'!#REF!</f>
        <v>#REF!</v>
      </c>
      <c r="P138" s="12" t="e">
        <f>133+'Health and Safety'!#REF!</f>
        <v>#REF!</v>
      </c>
      <c r="Q138" s="12" t="e">
        <f>2895+'Health and Safety'!#REF!</f>
        <v>#REF!</v>
      </c>
      <c r="R138" s="748" t="s">
        <v>26</v>
      </c>
      <c r="S138" s="763"/>
      <c r="T138" s="690"/>
      <c r="U138" s="11" t="e">
        <f>SUM(O138:T138)</f>
        <v>#REF!</v>
      </c>
      <c r="V138" s="12">
        <f>1496+3270</f>
        <v>4766</v>
      </c>
      <c r="W138" s="12">
        <f>336+1893</f>
        <v>2229</v>
      </c>
      <c r="X138" s="12">
        <f>352+434</f>
        <v>786</v>
      </c>
      <c r="Y138" s="748" t="s">
        <v>26</v>
      </c>
      <c r="Z138" s="763"/>
      <c r="AA138" s="690"/>
      <c r="AB138" s="11">
        <f>SUM(V138:AA138)</f>
        <v>7781</v>
      </c>
      <c r="AC138" s="12">
        <v>15270</v>
      </c>
      <c r="AD138" s="12">
        <v>4570</v>
      </c>
      <c r="AE138" s="12">
        <v>101</v>
      </c>
      <c r="AF138" s="12">
        <v>588</v>
      </c>
      <c r="AG138" s="12"/>
      <c r="AH138" s="12"/>
      <c r="AI138" s="12"/>
      <c r="AJ138" s="11">
        <f>SUM(AC138:AI138)</f>
        <v>20529</v>
      </c>
      <c r="AK138" s="4" t="s">
        <v>495</v>
      </c>
    </row>
    <row r="139" spans="2:37" ht="15.75" customHeight="1">
      <c r="B139" s="131"/>
      <c r="C139" s="131"/>
      <c r="D139" s="131"/>
      <c r="E139" s="9"/>
      <c r="F139" s="48" t="s">
        <v>176</v>
      </c>
      <c r="G139" s="150">
        <v>742</v>
      </c>
      <c r="H139" s="150">
        <v>51</v>
      </c>
      <c r="I139" s="150">
        <v>183</v>
      </c>
      <c r="J139" s="150" t="s">
        <v>93</v>
      </c>
      <c r="K139" s="150" t="s">
        <v>93</v>
      </c>
      <c r="L139" s="150" t="s">
        <v>93</v>
      </c>
      <c r="M139" s="150" t="s">
        <v>93</v>
      </c>
      <c r="N139" s="11">
        <f>SUM(G139:M139)</f>
        <v>976</v>
      </c>
      <c r="O139" s="12" t="e">
        <f>43+'Health and Safety'!#REF!</f>
        <v>#REF!</v>
      </c>
      <c r="P139" s="12" t="e">
        <f>29+'Health and Safety'!#REF!</f>
        <v>#REF!</v>
      </c>
      <c r="Q139" s="12" t="e">
        <f>137+'Health and Safety'!#REF!</f>
        <v>#REF!</v>
      </c>
      <c r="R139" s="691"/>
      <c r="S139" s="764"/>
      <c r="T139" s="692"/>
      <c r="U139" s="11" t="e">
        <f>SUM(O139:T139)</f>
        <v>#REF!</v>
      </c>
      <c r="V139" s="12">
        <f>8+96</f>
        <v>104</v>
      </c>
      <c r="W139" s="12">
        <f>55+20</f>
        <v>75</v>
      </c>
      <c r="X139" s="12">
        <f>34+38</f>
        <v>72</v>
      </c>
      <c r="Y139" s="691"/>
      <c r="Z139" s="764"/>
      <c r="AA139" s="692"/>
      <c r="AB139" s="11">
        <f>SUM(V139:AA139)</f>
        <v>251</v>
      </c>
      <c r="AC139" s="12">
        <v>905</v>
      </c>
      <c r="AD139" s="12">
        <v>27</v>
      </c>
      <c r="AE139" s="12">
        <v>0</v>
      </c>
      <c r="AF139" s="12">
        <v>22</v>
      </c>
      <c r="AG139" s="12"/>
      <c r="AH139" s="12"/>
      <c r="AI139" s="12"/>
      <c r="AJ139" s="11">
        <f>SUM(AC139:AI139)</f>
        <v>954</v>
      </c>
      <c r="AK139" s="4"/>
    </row>
    <row r="140" spans="2:37" ht="15.75" customHeight="1">
      <c r="B140" s="132"/>
      <c r="C140" s="131"/>
      <c r="D140" s="19"/>
      <c r="E140" s="13"/>
      <c r="F140" s="49" t="s">
        <v>177</v>
      </c>
      <c r="G140" s="152">
        <v>8998</v>
      </c>
      <c r="H140" s="152">
        <v>573</v>
      </c>
      <c r="I140" s="152">
        <v>3070</v>
      </c>
      <c r="J140" s="152" t="s">
        <v>93</v>
      </c>
      <c r="K140" s="152" t="s">
        <v>93</v>
      </c>
      <c r="L140" s="152" t="s">
        <v>93</v>
      </c>
      <c r="M140" s="152" t="s">
        <v>93</v>
      </c>
      <c r="N140" s="18">
        <f>SUM(N138:N139)</f>
        <v>12641</v>
      </c>
      <c r="O140" s="17" t="e">
        <f>SUM(O138:O139)</f>
        <v>#REF!</v>
      </c>
      <c r="P140" s="17" t="e">
        <f>SUM(P138:P139)</f>
        <v>#REF!</v>
      </c>
      <c r="Q140" s="17" t="e">
        <f>SUM(Q138:Q139)</f>
        <v>#REF!</v>
      </c>
      <c r="R140" s="691"/>
      <c r="S140" s="764"/>
      <c r="T140" s="692"/>
      <c r="U140" s="18" t="e">
        <f>SUM(U138:U139)</f>
        <v>#REF!</v>
      </c>
      <c r="V140" s="17">
        <f>SUM(V138:V139)</f>
        <v>4870</v>
      </c>
      <c r="W140" s="17">
        <f>SUM(W138:W139)</f>
        <v>2304</v>
      </c>
      <c r="X140" s="17">
        <f>SUM(X138:X139)</f>
        <v>858</v>
      </c>
      <c r="Y140" s="691"/>
      <c r="Z140" s="764"/>
      <c r="AA140" s="692"/>
      <c r="AB140" s="18">
        <f t="shared" ref="AB140:AJ140" si="54">SUM(AB138:AB139)</f>
        <v>8032</v>
      </c>
      <c r="AC140" s="17">
        <f t="shared" si="54"/>
        <v>16175</v>
      </c>
      <c r="AD140" s="17">
        <f t="shared" si="54"/>
        <v>4597</v>
      </c>
      <c r="AE140" s="17">
        <f t="shared" si="54"/>
        <v>101</v>
      </c>
      <c r="AF140" s="17">
        <f t="shared" si="54"/>
        <v>610</v>
      </c>
      <c r="AG140" s="17">
        <f t="shared" si="54"/>
        <v>0</v>
      </c>
      <c r="AH140" s="17">
        <f t="shared" si="54"/>
        <v>0</v>
      </c>
      <c r="AI140" s="17">
        <f t="shared" si="54"/>
        <v>0</v>
      </c>
      <c r="AJ140" s="18">
        <f t="shared" si="54"/>
        <v>21483</v>
      </c>
      <c r="AK140" s="19"/>
    </row>
    <row r="141" spans="2:37" ht="15.75" customHeight="1">
      <c r="B141" s="131"/>
      <c r="C141" s="131"/>
      <c r="D141" s="131"/>
      <c r="E141" s="9"/>
      <c r="F141" s="10" t="s">
        <v>178</v>
      </c>
      <c r="G141" s="12">
        <f t="shared" ref="G141:I143" si="55">G138/G30</f>
        <v>27.337748344370862</v>
      </c>
      <c r="H141" s="12">
        <f t="shared" si="55"/>
        <v>2.6907216494845363</v>
      </c>
      <c r="I141" s="12">
        <f t="shared" si="55"/>
        <v>4.6866883116883118</v>
      </c>
      <c r="J141" s="10" t="s">
        <v>93</v>
      </c>
      <c r="K141" s="10" t="s">
        <v>93</v>
      </c>
      <c r="L141" s="10" t="s">
        <v>93</v>
      </c>
      <c r="M141" s="10" t="s">
        <v>93</v>
      </c>
      <c r="N141" s="11">
        <f t="shared" ref="N141:Q143" si="56">N138/N30</f>
        <v>10.424486148346737</v>
      </c>
      <c r="O141" s="12" t="e">
        <f t="shared" si="56"/>
        <v>#REF!</v>
      </c>
      <c r="P141" s="12" t="e">
        <f t="shared" si="56"/>
        <v>#REF!</v>
      </c>
      <c r="Q141" s="12" t="e">
        <f t="shared" si="56"/>
        <v>#REF!</v>
      </c>
      <c r="R141" s="691"/>
      <c r="S141" s="764"/>
      <c r="T141" s="692"/>
      <c r="U141" s="11" t="e">
        <f t="shared" ref="U141:X143" si="57">U138/U30</f>
        <v>#REF!</v>
      </c>
      <c r="V141" s="12">
        <f t="shared" si="57"/>
        <v>15.524429967426711</v>
      </c>
      <c r="W141" s="12">
        <f t="shared" si="57"/>
        <v>14.95973154362416</v>
      </c>
      <c r="X141" s="12">
        <f t="shared" si="57"/>
        <v>8.5434782608695645</v>
      </c>
      <c r="Y141" s="691"/>
      <c r="Z141" s="764"/>
      <c r="AA141" s="692"/>
      <c r="AB141" s="11">
        <f t="shared" ref="AB141:AJ141" si="58">AB138/AB30</f>
        <v>14.198905109489051</v>
      </c>
      <c r="AC141" s="12">
        <f t="shared" si="58"/>
        <v>39.869451697127936</v>
      </c>
      <c r="AD141" s="12">
        <f t="shared" si="58"/>
        <v>21.971153846153847</v>
      </c>
      <c r="AE141" s="12">
        <f t="shared" si="58"/>
        <v>1.8363636363636364</v>
      </c>
      <c r="AF141" s="12">
        <f t="shared" si="58"/>
        <v>17.818181818181817</v>
      </c>
      <c r="AG141" s="12" t="e">
        <f t="shared" si="58"/>
        <v>#DIV/0!</v>
      </c>
      <c r="AH141" s="12" t="e">
        <f t="shared" si="58"/>
        <v>#DIV/0!</v>
      </c>
      <c r="AI141" s="12" t="e">
        <f t="shared" si="58"/>
        <v>#DIV/0!</v>
      </c>
      <c r="AJ141" s="11">
        <f t="shared" si="58"/>
        <v>30.234167893961708</v>
      </c>
      <c r="AK141" s="4"/>
    </row>
    <row r="142" spans="2:37" ht="15.75" customHeight="1">
      <c r="B142" s="131"/>
      <c r="C142" s="132"/>
      <c r="D142" s="132"/>
      <c r="E142" s="9"/>
      <c r="F142" s="10" t="s">
        <v>179</v>
      </c>
      <c r="G142" s="12">
        <f t="shared" si="55"/>
        <v>37.1</v>
      </c>
      <c r="H142" s="12">
        <f t="shared" si="55"/>
        <v>4.6363636363636367</v>
      </c>
      <c r="I142" s="12">
        <f t="shared" si="55"/>
        <v>3.66</v>
      </c>
      <c r="J142" s="10" t="s">
        <v>93</v>
      </c>
      <c r="K142" s="10" t="s">
        <v>93</v>
      </c>
      <c r="L142" s="10" t="s">
        <v>93</v>
      </c>
      <c r="M142" s="10" t="s">
        <v>93</v>
      </c>
      <c r="N142" s="11">
        <f t="shared" si="56"/>
        <v>12.049382716049383</v>
      </c>
      <c r="O142" s="12" t="e">
        <f t="shared" si="56"/>
        <v>#REF!</v>
      </c>
      <c r="P142" s="12" t="e">
        <f t="shared" si="56"/>
        <v>#REF!</v>
      </c>
      <c r="Q142" s="12" t="e">
        <f t="shared" si="56"/>
        <v>#REF!</v>
      </c>
      <c r="R142" s="691"/>
      <c r="S142" s="764"/>
      <c r="T142" s="692"/>
      <c r="U142" s="11" t="e">
        <f t="shared" si="57"/>
        <v>#REF!</v>
      </c>
      <c r="V142" s="12">
        <f t="shared" si="57"/>
        <v>5.2</v>
      </c>
      <c r="W142" s="12">
        <f t="shared" si="57"/>
        <v>12.5</v>
      </c>
      <c r="X142" s="12">
        <f t="shared" si="57"/>
        <v>7.2</v>
      </c>
      <c r="Y142" s="691"/>
      <c r="Z142" s="764"/>
      <c r="AA142" s="692"/>
      <c r="AB142" s="11">
        <f t="shared" ref="AB142:AJ142" si="59">AB139/AB31</f>
        <v>6.9722222222222223</v>
      </c>
      <c r="AC142" s="12">
        <f t="shared" si="59"/>
        <v>47.631578947368418</v>
      </c>
      <c r="AD142" s="12">
        <f t="shared" si="59"/>
        <v>9</v>
      </c>
      <c r="AE142" s="12" t="e">
        <f t="shared" si="59"/>
        <v>#DIV/0!</v>
      </c>
      <c r="AF142" s="12" t="e">
        <f t="shared" si="59"/>
        <v>#DIV/0!</v>
      </c>
      <c r="AG142" s="12" t="e">
        <f t="shared" si="59"/>
        <v>#DIV/0!</v>
      </c>
      <c r="AH142" s="12" t="e">
        <f t="shared" si="59"/>
        <v>#DIV/0!</v>
      </c>
      <c r="AI142" s="12" t="e">
        <f t="shared" si="59"/>
        <v>#DIV/0!</v>
      </c>
      <c r="AJ142" s="11">
        <f t="shared" si="59"/>
        <v>43.363636363636367</v>
      </c>
      <c r="AK142" s="4"/>
    </row>
    <row r="143" spans="2:37" ht="15.75" customHeight="1">
      <c r="B143" s="131"/>
      <c r="C143" s="131"/>
      <c r="D143" s="131"/>
      <c r="E143" s="9"/>
      <c r="F143" s="10" t="s">
        <v>180</v>
      </c>
      <c r="G143" s="12">
        <f t="shared" si="55"/>
        <v>27.944099378881987</v>
      </c>
      <c r="H143" s="12">
        <f t="shared" si="55"/>
        <v>2.795121951219512</v>
      </c>
      <c r="I143" s="12">
        <f t="shared" si="55"/>
        <v>4.6096096096096097</v>
      </c>
      <c r="J143" s="10" t="s">
        <v>93</v>
      </c>
      <c r="K143" s="10" t="s">
        <v>93</v>
      </c>
      <c r="L143" s="10" t="s">
        <v>93</v>
      </c>
      <c r="M143" s="10" t="s">
        <v>93</v>
      </c>
      <c r="N143" s="11">
        <f t="shared" si="56"/>
        <v>10.534166666666666</v>
      </c>
      <c r="O143" s="12" t="e">
        <f t="shared" si="56"/>
        <v>#REF!</v>
      </c>
      <c r="P143" s="12" t="e">
        <f t="shared" si="56"/>
        <v>#REF!</v>
      </c>
      <c r="Q143" s="12" t="e">
        <f t="shared" si="56"/>
        <v>#REF!</v>
      </c>
      <c r="R143" s="693"/>
      <c r="S143" s="765"/>
      <c r="T143" s="694"/>
      <c r="U143" s="11" t="e">
        <f t="shared" si="57"/>
        <v>#REF!</v>
      </c>
      <c r="V143" s="12">
        <f t="shared" si="57"/>
        <v>14.892966360856269</v>
      </c>
      <c r="W143" s="12">
        <f t="shared" si="57"/>
        <v>14.864516129032259</v>
      </c>
      <c r="X143" s="12">
        <f t="shared" si="57"/>
        <v>8.4117647058823533</v>
      </c>
      <c r="Y143" s="693"/>
      <c r="Z143" s="765"/>
      <c r="AA143" s="694"/>
      <c r="AB143" s="11">
        <f t="shared" ref="AB143:AJ143" si="60">AB140/AB32</f>
        <v>13.753424657534246</v>
      </c>
      <c r="AC143" s="12">
        <f t="shared" si="60"/>
        <v>40.236318407960198</v>
      </c>
      <c r="AD143" s="12">
        <f t="shared" si="60"/>
        <v>21.786729857819907</v>
      </c>
      <c r="AE143" s="12">
        <f t="shared" si="60"/>
        <v>1.8363636363636364</v>
      </c>
      <c r="AF143" s="12">
        <f t="shared" si="60"/>
        <v>18.484848484848484</v>
      </c>
      <c r="AG143" s="12" t="e">
        <f t="shared" si="60"/>
        <v>#DIV/0!</v>
      </c>
      <c r="AH143" s="12" t="e">
        <f t="shared" si="60"/>
        <v>#DIV/0!</v>
      </c>
      <c r="AI143" s="12" t="e">
        <f t="shared" si="60"/>
        <v>#DIV/0!</v>
      </c>
      <c r="AJ143" s="11">
        <f t="shared" si="60"/>
        <v>30.646219686162624</v>
      </c>
      <c r="AK143" s="4"/>
    </row>
    <row r="144" spans="2:37" ht="15.75" customHeight="1">
      <c r="B144" s="132"/>
      <c r="C144" s="131"/>
      <c r="D144" s="131"/>
      <c r="E144" s="53" t="s">
        <v>181</v>
      </c>
      <c r="F144" s="14"/>
      <c r="G144" s="14"/>
      <c r="H144" s="14"/>
      <c r="I144" s="14"/>
      <c r="J144" s="14"/>
      <c r="K144" s="14"/>
      <c r="L144" s="14"/>
      <c r="M144" s="14"/>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19"/>
    </row>
    <row r="146" spans="2:36" ht="15.75" customHeight="1">
      <c r="B146" s="131"/>
      <c r="C146" s="131"/>
      <c r="D146" s="131"/>
      <c r="E146" s="7" t="s">
        <v>182</v>
      </c>
      <c r="F146" s="8"/>
      <c r="G146" s="8"/>
      <c r="H146" s="8"/>
      <c r="I146" s="8"/>
      <c r="J146" s="8"/>
      <c r="K146" s="8"/>
      <c r="L146" s="8"/>
      <c r="M146" s="8"/>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2:36" ht="15.75" customHeight="1">
      <c r="B147" s="153"/>
      <c r="C147" s="153"/>
      <c r="D147" s="153"/>
      <c r="E147" s="30"/>
      <c r="F147" s="14" t="s">
        <v>183</v>
      </c>
      <c r="G147" s="31">
        <f>G140+G119</f>
        <v>27844</v>
      </c>
      <c r="H147" s="31">
        <f>H140+H119</f>
        <v>3838</v>
      </c>
      <c r="I147" s="31">
        <f>I140+I119</f>
        <v>48388</v>
      </c>
      <c r="J147" s="115" t="s">
        <v>93</v>
      </c>
      <c r="K147" s="115" t="s">
        <v>93</v>
      </c>
      <c r="L147" s="31" t="e">
        <f>L140+L119</f>
        <v>#VALUE!</v>
      </c>
      <c r="M147" s="115" t="s">
        <v>93</v>
      </c>
      <c r="N147" s="32">
        <f t="shared" ref="N147:S147" si="61">N140+N119</f>
        <v>80270</v>
      </c>
      <c r="O147" s="31" t="e">
        <f t="shared" si="61"/>
        <v>#REF!</v>
      </c>
      <c r="P147" s="31" t="e">
        <f t="shared" si="61"/>
        <v>#REF!</v>
      </c>
      <c r="Q147" s="31" t="e">
        <f t="shared" si="61"/>
        <v>#REF!</v>
      </c>
      <c r="R147" s="31">
        <f t="shared" si="61"/>
        <v>2470.37</v>
      </c>
      <c r="S147" s="31">
        <f t="shared" si="61"/>
        <v>1046.53</v>
      </c>
      <c r="T147" s="154" t="s">
        <v>26</v>
      </c>
      <c r="U147" s="32" t="e">
        <f t="shared" ref="U147:Z147" si="62">U140+U119</f>
        <v>#REF!</v>
      </c>
      <c r="V147" s="31">
        <f t="shared" si="62"/>
        <v>24146</v>
      </c>
      <c r="W147" s="31">
        <f t="shared" si="62"/>
        <v>22765</v>
      </c>
      <c r="X147" s="31">
        <f t="shared" si="62"/>
        <v>6425</v>
      </c>
      <c r="Y147" s="31">
        <f t="shared" si="62"/>
        <v>3663</v>
      </c>
      <c r="Z147" s="31">
        <f t="shared" si="62"/>
        <v>1048</v>
      </c>
      <c r="AA147" s="154" t="s">
        <v>26</v>
      </c>
      <c r="AB147" s="32">
        <f t="shared" ref="AB147:AJ147" si="63">AB140+AB119</f>
        <v>56999</v>
      </c>
      <c r="AC147" s="31">
        <f t="shared" si="63"/>
        <v>51101</v>
      </c>
      <c r="AD147" s="31">
        <f t="shared" si="63"/>
        <v>20874</v>
      </c>
      <c r="AE147" s="31">
        <f t="shared" si="63"/>
        <v>545</v>
      </c>
      <c r="AF147" s="31">
        <f t="shared" si="63"/>
        <v>7285</v>
      </c>
      <c r="AG147" s="31">
        <f t="shared" si="63"/>
        <v>0</v>
      </c>
      <c r="AH147" s="31">
        <f t="shared" si="63"/>
        <v>0</v>
      </c>
      <c r="AI147" s="31">
        <f t="shared" si="63"/>
        <v>0</v>
      </c>
      <c r="AJ147" s="32">
        <f t="shared" si="63"/>
        <v>79805</v>
      </c>
    </row>
    <row r="148" spans="2:36" ht="15.75" customHeight="1">
      <c r="B148" s="131"/>
      <c r="C148" s="131"/>
      <c r="D148" s="131"/>
      <c r="E148" s="9"/>
      <c r="F148" s="55" t="s">
        <v>184</v>
      </c>
      <c r="G148" s="12">
        <f t="shared" ref="G148:I150" si="64">(G138+G117)/(G25+G30)</f>
        <v>32.779220779220779</v>
      </c>
      <c r="H148" s="12">
        <f t="shared" si="64"/>
        <v>5.0657492354740059</v>
      </c>
      <c r="I148" s="12">
        <f t="shared" si="64"/>
        <v>46.555696202531642</v>
      </c>
      <c r="J148" s="55" t="s">
        <v>93</v>
      </c>
      <c r="K148" s="55" t="s">
        <v>93</v>
      </c>
      <c r="L148" s="55" t="s">
        <v>93</v>
      </c>
      <c r="M148" s="55" t="s">
        <v>93</v>
      </c>
      <c r="N148" s="11">
        <f t="shared" ref="N148:Q150" si="65">(N138+N117)/(N25+N30)</f>
        <v>27.935125906956891</v>
      </c>
      <c r="O148" s="12" t="e">
        <f t="shared" si="65"/>
        <v>#REF!</v>
      </c>
      <c r="P148" s="12" t="e">
        <f t="shared" si="65"/>
        <v>#REF!</v>
      </c>
      <c r="Q148" s="12" t="e">
        <f t="shared" si="65"/>
        <v>#REF!</v>
      </c>
      <c r="R148" s="12">
        <f t="shared" ref="R148:S150" si="66">(R117)/(R25+R30)</f>
        <v>14.668666666666667</v>
      </c>
      <c r="S148" s="12">
        <f t="shared" si="66"/>
        <v>12.496666666666666</v>
      </c>
      <c r="T148" s="33" t="s">
        <v>26</v>
      </c>
      <c r="U148" s="11" t="e">
        <f t="shared" ref="U148:X150" si="67">(U138+U117)/(U25+U30)</f>
        <v>#REF!</v>
      </c>
      <c r="V148" s="12">
        <f t="shared" si="67"/>
        <v>28.596129032258066</v>
      </c>
      <c r="W148" s="12">
        <f t="shared" si="67"/>
        <v>32.714285714285715</v>
      </c>
      <c r="X148" s="12">
        <f t="shared" si="67"/>
        <v>33.468531468531467</v>
      </c>
      <c r="Y148" s="12">
        <f>(Y117)/(Y25+Y30)</f>
        <v>39.159999999999997</v>
      </c>
      <c r="Z148" s="33" t="s">
        <v>26</v>
      </c>
      <c r="AA148" s="33" t="s">
        <v>26</v>
      </c>
      <c r="AB148" s="11">
        <f t="shared" ref="AB148:AJ148" si="68">(AB138+AB117)/(AB25+AB30)</f>
        <v>29.379663056558364</v>
      </c>
      <c r="AC148" s="12">
        <f t="shared" si="68"/>
        <v>54.802352941176473</v>
      </c>
      <c r="AD148" s="12">
        <f t="shared" si="68"/>
        <v>33.239202657807311</v>
      </c>
      <c r="AE148" s="12">
        <f t="shared" si="68"/>
        <v>4.662337662337662</v>
      </c>
      <c r="AF148" s="12">
        <f t="shared" si="68"/>
        <v>48.37323943661972</v>
      </c>
      <c r="AG148" s="12" t="e">
        <f t="shared" si="68"/>
        <v>#VALUE!</v>
      </c>
      <c r="AH148" s="12" t="e">
        <f t="shared" si="68"/>
        <v>#VALUE!</v>
      </c>
      <c r="AI148" s="12" t="e">
        <f t="shared" si="68"/>
        <v>#VALUE!</v>
      </c>
      <c r="AJ148" s="11">
        <f t="shared" si="68"/>
        <v>44.1771394374626</v>
      </c>
    </row>
    <row r="149" spans="2:36" ht="15.75" customHeight="1">
      <c r="B149" s="131"/>
      <c r="C149" s="131"/>
      <c r="D149" s="131"/>
      <c r="E149" s="9"/>
      <c r="F149" s="55" t="s">
        <v>185</v>
      </c>
      <c r="G149" s="12">
        <f t="shared" si="64"/>
        <v>23.25</v>
      </c>
      <c r="H149" s="12">
        <f t="shared" si="64"/>
        <v>10.5</v>
      </c>
      <c r="I149" s="12">
        <f t="shared" si="64"/>
        <v>136.57647058823528</v>
      </c>
      <c r="J149" s="55" t="s">
        <v>93</v>
      </c>
      <c r="K149" s="55" t="s">
        <v>93</v>
      </c>
      <c r="L149" s="55" t="s">
        <v>93</v>
      </c>
      <c r="M149" s="55" t="s">
        <v>93</v>
      </c>
      <c r="N149" s="11">
        <f t="shared" si="65"/>
        <v>48.743421052631582</v>
      </c>
      <c r="O149" s="12" t="e">
        <f t="shared" si="65"/>
        <v>#REF!</v>
      </c>
      <c r="P149" s="12" t="e">
        <f t="shared" si="65"/>
        <v>#REF!</v>
      </c>
      <c r="Q149" s="12" t="e">
        <f t="shared" si="65"/>
        <v>#REF!</v>
      </c>
      <c r="R149" s="12">
        <f t="shared" si="66"/>
        <v>17.167014925373135</v>
      </c>
      <c r="S149" s="12">
        <f t="shared" si="66"/>
        <v>13.859375</v>
      </c>
      <c r="T149" s="33" t="s">
        <v>26</v>
      </c>
      <c r="U149" s="11" t="e">
        <f t="shared" si="67"/>
        <v>#REF!</v>
      </c>
      <c r="V149" s="12">
        <f t="shared" si="67"/>
        <v>19.262135922330096</v>
      </c>
      <c r="W149" s="12">
        <f t="shared" si="67"/>
        <v>64.590909090909093</v>
      </c>
      <c r="X149" s="12">
        <f t="shared" si="67"/>
        <v>56.517241379310342</v>
      </c>
      <c r="Y149" s="12">
        <f>(Y118)/(Y26+Y31)</f>
        <v>51.666666666666664</v>
      </c>
      <c r="Z149" s="33" t="s">
        <v>26</v>
      </c>
      <c r="AA149" s="33" t="s">
        <v>26</v>
      </c>
      <c r="AB149" s="11">
        <f t="shared" ref="AB149:AJ149" si="69">(AB139+AB118)/(AB26+AB31)</f>
        <v>35.21551724137931</v>
      </c>
      <c r="AC149" s="12">
        <f t="shared" si="69"/>
        <v>48.591397849462368</v>
      </c>
      <c r="AD149" s="12">
        <f t="shared" si="69"/>
        <v>24</v>
      </c>
      <c r="AE149" s="12">
        <f t="shared" si="69"/>
        <v>20.666666666666668</v>
      </c>
      <c r="AF149" s="12">
        <f t="shared" si="69"/>
        <v>41.6</v>
      </c>
      <c r="AG149" s="12" t="e">
        <f t="shared" si="69"/>
        <v>#VALUE!</v>
      </c>
      <c r="AH149" s="12" t="e">
        <f t="shared" si="69"/>
        <v>#VALUE!</v>
      </c>
      <c r="AI149" s="12" t="e">
        <f t="shared" si="69"/>
        <v>#VALUE!</v>
      </c>
      <c r="AJ149" s="11">
        <f t="shared" si="69"/>
        <v>40.439189189189186</v>
      </c>
    </row>
    <row r="150" spans="2:36" ht="15.75" customHeight="1">
      <c r="B150" s="131"/>
      <c r="C150" s="131"/>
      <c r="D150" s="131"/>
      <c r="E150" s="9"/>
      <c r="F150" s="55" t="s">
        <v>186</v>
      </c>
      <c r="G150" s="12">
        <f t="shared" si="64"/>
        <v>31.569160997732425</v>
      </c>
      <c r="H150" s="12">
        <f t="shared" si="64"/>
        <v>5.4517045454545459</v>
      </c>
      <c r="I150" s="12">
        <f t="shared" si="64"/>
        <v>55.30057142857143</v>
      </c>
      <c r="J150" s="55" t="s">
        <v>93</v>
      </c>
      <c r="K150" s="55" t="s">
        <v>93</v>
      </c>
      <c r="L150" s="12" t="e">
        <f>(L140+L119)/(L27+L32)</f>
        <v>#VALUE!</v>
      </c>
      <c r="M150" s="55" t="s">
        <v>93</v>
      </c>
      <c r="N150" s="11">
        <f t="shared" si="65"/>
        <v>30.324896108802417</v>
      </c>
      <c r="O150" s="12" t="e">
        <f t="shared" si="65"/>
        <v>#REF!</v>
      </c>
      <c r="P150" s="12" t="e">
        <f t="shared" si="65"/>
        <v>#REF!</v>
      </c>
      <c r="Q150" s="12" t="e">
        <f t="shared" si="65"/>
        <v>#REF!</v>
      </c>
      <c r="R150" s="12">
        <f t="shared" si="66"/>
        <v>15.73484076433121</v>
      </c>
      <c r="S150" s="12">
        <f t="shared" si="66"/>
        <v>12.762560975609755</v>
      </c>
      <c r="T150" s="33" t="s">
        <v>26</v>
      </c>
      <c r="U150" s="11" t="e">
        <f t="shared" si="67"/>
        <v>#REF!</v>
      </c>
      <c r="V150" s="12">
        <f t="shared" si="67"/>
        <v>27.501138952164009</v>
      </c>
      <c r="W150" s="12">
        <f t="shared" si="67"/>
        <v>34.862174578866771</v>
      </c>
      <c r="X150" s="12">
        <f t="shared" si="67"/>
        <v>37.354651162790695</v>
      </c>
      <c r="Y150" s="12">
        <f>(Y119)/(Y27+Y32)</f>
        <v>44.132530120481931</v>
      </c>
      <c r="Z150" s="12">
        <f>(Z119)/(Z27+Z32)</f>
        <v>13.973333333333333</v>
      </c>
      <c r="AA150" s="33" t="s">
        <v>26</v>
      </c>
      <c r="AB150" s="11">
        <f t="shared" ref="AB150:AJ150" si="70">(AB140+AB119)/(AB27+AB32)</f>
        <v>30.094508975712777</v>
      </c>
      <c r="AC150" s="12">
        <f t="shared" si="70"/>
        <v>54.189819724284199</v>
      </c>
      <c r="AD150" s="12">
        <f t="shared" si="70"/>
        <v>32.717868338557992</v>
      </c>
      <c r="AE150" s="12">
        <f t="shared" si="70"/>
        <v>6.3372093023255811</v>
      </c>
      <c r="AF150" s="12">
        <f t="shared" si="70"/>
        <v>47.92763157894737</v>
      </c>
      <c r="AG150" s="12">
        <f t="shared" si="70"/>
        <v>0</v>
      </c>
      <c r="AH150" s="12">
        <f t="shared" si="70"/>
        <v>0</v>
      </c>
      <c r="AI150" s="12">
        <f t="shared" si="70"/>
        <v>0</v>
      </c>
      <c r="AJ150" s="11">
        <f t="shared" si="70"/>
        <v>40.264883955600403</v>
      </c>
    </row>
    <row r="151" spans="2:36" ht="15.75" customHeight="1">
      <c r="B151" s="131"/>
      <c r="C151" s="131"/>
      <c r="D151" s="131"/>
      <c r="E151" s="285"/>
      <c r="F151" s="286"/>
      <c r="G151" s="286"/>
      <c r="H151" s="286"/>
      <c r="I151" s="286"/>
      <c r="J151" s="286"/>
      <c r="K151" s="286"/>
      <c r="L151" s="286"/>
      <c r="M151" s="286"/>
      <c r="N151" s="288"/>
      <c r="O151" s="290" t="e">
        <f>+O140+O119</f>
        <v>#REF!</v>
      </c>
      <c r="P151" s="290" t="e">
        <f>+P140+P119</f>
        <v>#REF!</v>
      </c>
      <c r="Q151" s="290" t="e">
        <f>+Q140+Q119</f>
        <v>#REF!</v>
      </c>
      <c r="R151" s="290">
        <f>+R140+R119</f>
        <v>2470.37</v>
      </c>
      <c r="S151" s="288"/>
      <c r="T151" s="288"/>
      <c r="U151" s="288"/>
      <c r="V151" s="288"/>
      <c r="W151" s="288"/>
      <c r="X151" s="288"/>
      <c r="Y151" s="288"/>
      <c r="Z151" s="288"/>
      <c r="AA151" s="288"/>
      <c r="AB151" s="288"/>
      <c r="AC151" s="288"/>
      <c r="AD151" s="288"/>
      <c r="AE151" s="288"/>
      <c r="AF151" s="288"/>
      <c r="AG151" s="288"/>
      <c r="AH151" s="288"/>
      <c r="AI151" s="288"/>
      <c r="AJ151" s="288"/>
    </row>
    <row r="152" spans="2:36" ht="15.75" customHeight="1">
      <c r="B152" s="131"/>
      <c r="C152" s="131"/>
      <c r="D152" s="131"/>
      <c r="E152" s="7" t="s">
        <v>187</v>
      </c>
      <c r="F152" s="8"/>
      <c r="G152" s="8"/>
      <c r="H152" s="8"/>
      <c r="I152" s="8"/>
      <c r="J152" s="8"/>
      <c r="K152" s="8"/>
      <c r="L152" s="8"/>
      <c r="M152" s="8"/>
      <c r="N152" s="4"/>
      <c r="O152" s="4"/>
      <c r="P152" s="4"/>
      <c r="Q152" s="4"/>
      <c r="R152" s="4"/>
      <c r="S152" s="4"/>
      <c r="T152" s="4"/>
      <c r="U152" s="4"/>
      <c r="V152" s="4"/>
      <c r="W152" s="4"/>
      <c r="X152" s="4"/>
      <c r="Y152" s="4"/>
      <c r="Z152" s="4"/>
      <c r="AA152" s="4"/>
      <c r="AB152" s="4"/>
      <c r="AC152" s="4"/>
      <c r="AD152" s="4"/>
      <c r="AE152" s="4"/>
      <c r="AF152" s="4"/>
      <c r="AG152" s="4"/>
      <c r="AH152" s="4"/>
      <c r="AI152" s="4"/>
      <c r="AJ152" s="4"/>
    </row>
    <row r="153" spans="2:36" ht="15.75" customHeight="1">
      <c r="B153" s="131"/>
      <c r="C153" s="131"/>
      <c r="D153" s="311" t="s">
        <v>496</v>
      </c>
      <c r="E153" s="9"/>
      <c r="F153" s="48" t="s">
        <v>188</v>
      </c>
      <c r="G153" s="12">
        <v>11397</v>
      </c>
      <c r="H153" s="12">
        <v>2520</v>
      </c>
      <c r="I153" s="12">
        <v>16250</v>
      </c>
      <c r="J153" s="12" t="s">
        <v>93</v>
      </c>
      <c r="K153" s="12">
        <v>96</v>
      </c>
      <c r="L153" s="12" t="s">
        <v>93</v>
      </c>
      <c r="M153" s="12" t="s">
        <v>93</v>
      </c>
      <c r="N153" s="68">
        <f>SUM(G153:M153)</f>
        <v>30263</v>
      </c>
      <c r="O153" s="12" t="e">
        <f>'Health and Safety'!#REF!</f>
        <v>#REF!</v>
      </c>
      <c r="P153" s="12" t="e">
        <f>'Health and Safety'!#REF!</f>
        <v>#REF!</v>
      </c>
      <c r="Q153" s="12" t="e">
        <f>'Health and Safety'!#REF!</f>
        <v>#REF!</v>
      </c>
      <c r="R153" s="33" t="s">
        <v>93</v>
      </c>
      <c r="S153" s="12">
        <v>943</v>
      </c>
      <c r="T153" s="33" t="s">
        <v>26</v>
      </c>
      <c r="U153" s="11" t="e">
        <f>SUM(O153:T153)</f>
        <v>#REF!</v>
      </c>
      <c r="V153" s="12">
        <f>10157</f>
        <v>10157</v>
      </c>
      <c r="W153" s="12">
        <v>13545</v>
      </c>
      <c r="X153" s="12">
        <v>1680</v>
      </c>
      <c r="Y153" s="12">
        <v>138</v>
      </c>
      <c r="Z153" s="12">
        <v>1048</v>
      </c>
      <c r="AA153" s="33" t="s">
        <v>26</v>
      </c>
      <c r="AB153" s="11">
        <f>SUM(V153:AA153)</f>
        <v>26568</v>
      </c>
      <c r="AC153" s="12">
        <v>35451</v>
      </c>
      <c r="AD153" s="12">
        <v>11237</v>
      </c>
      <c r="AE153" s="12">
        <v>404</v>
      </c>
      <c r="AF153" s="12">
        <v>7285</v>
      </c>
      <c r="AG153" s="12"/>
      <c r="AH153" s="12"/>
      <c r="AI153" s="12"/>
      <c r="AJ153" s="11">
        <v>54376</v>
      </c>
    </row>
    <row r="154" spans="2:36" ht="15.75" customHeight="1">
      <c r="B154" s="131"/>
      <c r="C154" s="132"/>
      <c r="D154" s="132"/>
      <c r="E154" s="9"/>
      <c r="F154" s="56" t="s">
        <v>189</v>
      </c>
      <c r="G154" s="12">
        <v>11249</v>
      </c>
      <c r="H154" s="12">
        <v>3023</v>
      </c>
      <c r="I154" s="12">
        <v>41705</v>
      </c>
      <c r="J154" s="12" t="s">
        <v>93</v>
      </c>
      <c r="K154" s="12">
        <v>116</v>
      </c>
      <c r="L154" s="12" t="s">
        <v>93</v>
      </c>
      <c r="M154" s="12" t="s">
        <v>93</v>
      </c>
      <c r="N154" s="68">
        <f>SUM(G154:M154)</f>
        <v>56093</v>
      </c>
      <c r="O154" s="12">
        <f>961+13610</f>
        <v>14571</v>
      </c>
      <c r="P154" s="12">
        <v>6215</v>
      </c>
      <c r="Q154" s="12">
        <f>2050+3032</f>
        <v>5082</v>
      </c>
      <c r="R154" s="12">
        <v>220</v>
      </c>
      <c r="S154" s="12"/>
      <c r="T154" s="33" t="s">
        <v>26</v>
      </c>
      <c r="U154" s="11">
        <f>SUM(O154:T154)</f>
        <v>26088</v>
      </c>
      <c r="V154" s="12">
        <v>10910</v>
      </c>
      <c r="W154" s="12">
        <v>6518</v>
      </c>
      <c r="X154" s="12">
        <f>1777+386</f>
        <v>2163</v>
      </c>
      <c r="Y154" s="12">
        <v>1025</v>
      </c>
      <c r="Z154" s="12">
        <v>0</v>
      </c>
      <c r="AA154" s="33" t="s">
        <v>26</v>
      </c>
      <c r="AB154" s="11">
        <f>SUM(V154:AA154)</f>
        <v>20616</v>
      </c>
      <c r="AC154" s="12">
        <f>11836+32</f>
        <v>11868</v>
      </c>
      <c r="AD154" s="12">
        <v>6724</v>
      </c>
      <c r="AE154" s="12">
        <v>0</v>
      </c>
      <c r="AF154" s="12">
        <v>0</v>
      </c>
      <c r="AG154" s="12"/>
      <c r="AH154" s="12"/>
      <c r="AI154" s="12"/>
      <c r="AJ154" s="11">
        <v>18592</v>
      </c>
    </row>
    <row r="155" spans="2:36" ht="15.75" customHeight="1">
      <c r="B155" s="131"/>
      <c r="C155" s="131"/>
      <c r="D155" s="131"/>
      <c r="E155" s="9"/>
      <c r="F155" s="48" t="s">
        <v>190</v>
      </c>
      <c r="G155" s="12">
        <v>1424</v>
      </c>
      <c r="H155" s="12">
        <v>59</v>
      </c>
      <c r="I155" s="12">
        <v>940</v>
      </c>
      <c r="J155" s="12" t="s">
        <v>93</v>
      </c>
      <c r="K155" s="12">
        <v>84</v>
      </c>
      <c r="L155" s="12" t="s">
        <v>93</v>
      </c>
      <c r="M155" s="12" t="s">
        <v>93</v>
      </c>
      <c r="N155" s="68">
        <f>SUM(G155:M155)</f>
        <v>2507</v>
      </c>
      <c r="O155" s="12">
        <f>188+287</f>
        <v>475</v>
      </c>
      <c r="P155" s="12">
        <f>627+210</f>
        <v>837</v>
      </c>
      <c r="Q155" s="12">
        <f>2309+92</f>
        <v>2401</v>
      </c>
      <c r="R155" s="12">
        <f>1836+414</f>
        <v>2250</v>
      </c>
      <c r="S155" s="12">
        <f>82+22</f>
        <v>104</v>
      </c>
      <c r="T155" s="33" t="s">
        <v>26</v>
      </c>
      <c r="U155" s="11">
        <f>SUM(O155:T155)</f>
        <v>6067</v>
      </c>
      <c r="V155" s="12">
        <v>2567</v>
      </c>
      <c r="W155" s="12">
        <v>2702</v>
      </c>
      <c r="X155" s="12">
        <v>2582</v>
      </c>
      <c r="Y155" s="12">
        <v>2638</v>
      </c>
      <c r="Z155" s="12">
        <v>0</v>
      </c>
      <c r="AA155" s="33" t="s">
        <v>26</v>
      </c>
      <c r="AB155" s="11">
        <f>SUM(V155:AA155)</f>
        <v>10489</v>
      </c>
      <c r="AC155" s="12">
        <v>3782</v>
      </c>
      <c r="AD155" s="12">
        <v>2913</v>
      </c>
      <c r="AE155" s="12">
        <v>141</v>
      </c>
      <c r="AF155" s="12">
        <v>0</v>
      </c>
      <c r="AG155" s="12"/>
      <c r="AH155" s="12"/>
      <c r="AI155" s="12"/>
      <c r="AJ155" s="11">
        <v>6837</v>
      </c>
    </row>
    <row r="156" spans="2:36" ht="15.75" customHeight="1">
      <c r="B156" s="132"/>
      <c r="C156" s="131"/>
      <c r="D156" s="131"/>
      <c r="E156" s="13"/>
      <c r="F156" s="13" t="s">
        <v>192</v>
      </c>
      <c r="G156" s="17">
        <f t="shared" ref="G156:S156" si="71">SUM(G153:G155)</f>
        <v>24070</v>
      </c>
      <c r="H156" s="17">
        <f t="shared" si="71"/>
        <v>5602</v>
      </c>
      <c r="I156" s="17">
        <f t="shared" si="71"/>
        <v>58895</v>
      </c>
      <c r="J156" s="17">
        <f t="shared" si="71"/>
        <v>0</v>
      </c>
      <c r="K156" s="17">
        <f t="shared" si="71"/>
        <v>296</v>
      </c>
      <c r="L156" s="17">
        <f t="shared" si="71"/>
        <v>0</v>
      </c>
      <c r="M156" s="17">
        <f t="shared" si="71"/>
        <v>0</v>
      </c>
      <c r="N156" s="16">
        <f t="shared" si="71"/>
        <v>88863</v>
      </c>
      <c r="O156" s="17" t="e">
        <f t="shared" si="71"/>
        <v>#REF!</v>
      </c>
      <c r="P156" s="17" t="e">
        <f t="shared" si="71"/>
        <v>#REF!</v>
      </c>
      <c r="Q156" s="17" t="e">
        <f t="shared" si="71"/>
        <v>#REF!</v>
      </c>
      <c r="R156" s="17">
        <f t="shared" si="71"/>
        <v>2470</v>
      </c>
      <c r="S156" s="17">
        <f t="shared" si="71"/>
        <v>1047</v>
      </c>
      <c r="T156" s="33" t="s">
        <v>26</v>
      </c>
      <c r="U156" s="18" t="e">
        <f t="shared" ref="U156:Z156" si="72">SUM(U153:U155)</f>
        <v>#REF!</v>
      </c>
      <c r="V156" s="17">
        <f t="shared" si="72"/>
        <v>23634</v>
      </c>
      <c r="W156" s="17">
        <f t="shared" si="72"/>
        <v>22765</v>
      </c>
      <c r="X156" s="17">
        <f t="shared" si="72"/>
        <v>6425</v>
      </c>
      <c r="Y156" s="17">
        <f t="shared" si="72"/>
        <v>3801</v>
      </c>
      <c r="Z156" s="17">
        <f t="shared" si="72"/>
        <v>1048</v>
      </c>
      <c r="AA156" s="33" t="s">
        <v>26</v>
      </c>
      <c r="AB156" s="18">
        <f t="shared" ref="AB156:AJ156" si="73">SUM(AB153:AB155)</f>
        <v>57673</v>
      </c>
      <c r="AC156" s="17">
        <f t="shared" si="73"/>
        <v>51101</v>
      </c>
      <c r="AD156" s="17">
        <f t="shared" si="73"/>
        <v>20874</v>
      </c>
      <c r="AE156" s="17">
        <f t="shared" si="73"/>
        <v>545</v>
      </c>
      <c r="AF156" s="17">
        <f t="shared" si="73"/>
        <v>7285</v>
      </c>
      <c r="AG156" s="17">
        <f t="shared" si="73"/>
        <v>0</v>
      </c>
      <c r="AH156" s="17">
        <f t="shared" si="73"/>
        <v>0</v>
      </c>
      <c r="AI156" s="17">
        <f t="shared" si="73"/>
        <v>0</v>
      </c>
      <c r="AJ156" s="18">
        <f t="shared" si="73"/>
        <v>79805</v>
      </c>
    </row>
    <row r="157" spans="2:36" ht="15.75" customHeight="1">
      <c r="B157" s="132"/>
      <c r="C157" s="131"/>
      <c r="D157" s="131"/>
      <c r="E157" s="19"/>
      <c r="F157" s="19"/>
      <c r="G157" s="19"/>
      <c r="H157" s="19"/>
      <c r="I157" s="19"/>
      <c r="J157" s="19"/>
      <c r="K157" s="19"/>
      <c r="L157" s="19"/>
      <c r="M157" s="19"/>
      <c r="N157" s="57"/>
      <c r="O157" s="57"/>
      <c r="P157" s="57"/>
      <c r="Q157" s="57"/>
      <c r="R157" s="57"/>
      <c r="S157" s="57"/>
      <c r="T157" s="58"/>
      <c r="U157" s="57"/>
      <c r="V157" s="57"/>
      <c r="W157" s="57"/>
      <c r="X157" s="57"/>
      <c r="Y157" s="57"/>
      <c r="Z157" s="57"/>
      <c r="AA157" s="58"/>
      <c r="AB157" s="57"/>
      <c r="AC157" s="57"/>
      <c r="AD157" s="57"/>
      <c r="AE157" s="57"/>
      <c r="AF157" s="57"/>
      <c r="AG157" s="57"/>
      <c r="AH157" s="57"/>
      <c r="AI157" s="57"/>
      <c r="AJ157" s="57"/>
    </row>
    <row r="158" spans="2:36" ht="15.75" customHeight="1">
      <c r="B158" s="131"/>
      <c r="C158" s="131"/>
      <c r="D158" s="131"/>
      <c r="E158" s="7" t="s">
        <v>497</v>
      </c>
      <c r="F158" s="8"/>
      <c r="G158" s="8"/>
      <c r="H158" s="8"/>
      <c r="I158" s="8"/>
      <c r="J158" s="8"/>
      <c r="K158" s="8"/>
      <c r="L158" s="8"/>
      <c r="M158" s="8"/>
      <c r="N158" s="4"/>
      <c r="O158" s="4"/>
      <c r="P158" s="4"/>
      <c r="Q158" s="4"/>
      <c r="R158" s="4"/>
      <c r="S158" s="4"/>
      <c r="T158" s="59"/>
      <c r="U158" s="4"/>
      <c r="V158" s="4"/>
      <c r="W158" s="4"/>
      <c r="X158" s="4"/>
      <c r="Y158" s="4"/>
      <c r="Z158" s="4"/>
      <c r="AA158" s="59"/>
      <c r="AB158" s="4"/>
      <c r="AC158" s="4"/>
      <c r="AD158" s="4"/>
      <c r="AE158" s="4"/>
      <c r="AF158" s="4"/>
      <c r="AG158" s="4"/>
      <c r="AH158" s="4"/>
      <c r="AI158" s="4"/>
      <c r="AJ158" s="4"/>
    </row>
    <row r="159" spans="2:36" ht="15.75" customHeight="1">
      <c r="B159" s="309" t="s">
        <v>498</v>
      </c>
      <c r="C159" s="132"/>
      <c r="D159" s="132"/>
      <c r="E159" s="9"/>
      <c r="F159" s="155" t="s">
        <v>499</v>
      </c>
      <c r="G159" s="156">
        <v>1</v>
      </c>
      <c r="H159" s="156">
        <v>1</v>
      </c>
      <c r="I159" s="156">
        <v>1</v>
      </c>
      <c r="J159" s="156">
        <v>1</v>
      </c>
      <c r="K159" s="156">
        <v>1</v>
      </c>
      <c r="L159" s="48"/>
      <c r="M159" s="48" t="s">
        <v>93</v>
      </c>
      <c r="N159" s="11"/>
      <c r="O159" s="12"/>
      <c r="P159" s="12"/>
      <c r="Q159" s="12"/>
      <c r="R159" s="12"/>
      <c r="S159" s="12"/>
      <c r="T159" s="33"/>
      <c r="U159" s="11"/>
      <c r="V159" s="12"/>
      <c r="W159" s="12"/>
      <c r="X159" s="12"/>
      <c r="Y159" s="12"/>
      <c r="Z159" s="12"/>
      <c r="AA159" s="33"/>
      <c r="AB159" s="11"/>
      <c r="AC159" s="12"/>
      <c r="AD159" s="12"/>
      <c r="AE159" s="12"/>
      <c r="AF159" s="12"/>
      <c r="AG159" s="12"/>
      <c r="AH159" s="12"/>
      <c r="AI159" s="12"/>
      <c r="AJ159" s="60"/>
    </row>
    <row r="160" spans="2:36" ht="15.75" customHeight="1">
      <c r="B160" s="309" t="s">
        <v>500</v>
      </c>
      <c r="C160" s="131"/>
      <c r="D160" s="131"/>
      <c r="E160" s="9"/>
      <c r="F160" s="155" t="s">
        <v>501</v>
      </c>
      <c r="G160" s="156">
        <v>1</v>
      </c>
      <c r="H160" s="156">
        <v>1</v>
      </c>
      <c r="I160" s="156">
        <v>1</v>
      </c>
      <c r="J160" s="156">
        <v>1</v>
      </c>
      <c r="K160" s="156">
        <v>1</v>
      </c>
      <c r="L160" s="48"/>
      <c r="M160" s="156">
        <v>1</v>
      </c>
      <c r="N160" s="11"/>
      <c r="O160" s="12"/>
      <c r="P160" s="12"/>
      <c r="Q160" s="12"/>
      <c r="R160" s="12"/>
      <c r="S160" s="12"/>
      <c r="T160" s="33"/>
      <c r="U160" s="11"/>
      <c r="V160" s="12"/>
      <c r="W160" s="12"/>
      <c r="X160" s="12"/>
      <c r="Y160" s="12"/>
      <c r="Z160" s="12"/>
      <c r="AA160" s="33"/>
      <c r="AB160" s="11"/>
      <c r="AC160" s="12"/>
      <c r="AD160" s="12"/>
      <c r="AE160" s="12"/>
      <c r="AF160" s="12"/>
      <c r="AG160" s="12"/>
      <c r="AH160" s="12"/>
      <c r="AI160" s="12"/>
      <c r="AJ160" s="60"/>
    </row>
    <row r="161" spans="2:36" ht="15.75" customHeight="1">
      <c r="B161" s="309" t="s">
        <v>502</v>
      </c>
      <c r="C161" s="131"/>
      <c r="D161" s="131"/>
      <c r="E161" s="9"/>
      <c r="F161" s="155" t="s">
        <v>503</v>
      </c>
      <c r="G161" s="156">
        <v>1</v>
      </c>
      <c r="H161" s="156">
        <v>1</v>
      </c>
      <c r="I161" s="156">
        <v>1</v>
      </c>
      <c r="J161" s="156">
        <v>1</v>
      </c>
      <c r="K161" s="156">
        <v>1</v>
      </c>
      <c r="L161" s="48"/>
      <c r="M161" s="156">
        <v>1</v>
      </c>
      <c r="N161" s="11"/>
      <c r="O161" s="12"/>
      <c r="P161" s="12"/>
      <c r="Q161" s="12"/>
      <c r="R161" s="12"/>
      <c r="S161" s="12"/>
      <c r="T161" s="33"/>
      <c r="U161" s="11"/>
      <c r="V161" s="12"/>
      <c r="W161" s="12"/>
      <c r="X161" s="12"/>
      <c r="Y161" s="12"/>
      <c r="Z161" s="12"/>
      <c r="AA161" s="33"/>
      <c r="AB161" s="11"/>
      <c r="AC161" s="12"/>
      <c r="AD161" s="12"/>
      <c r="AE161" s="12"/>
      <c r="AF161" s="12"/>
      <c r="AG161" s="12"/>
      <c r="AH161" s="12"/>
      <c r="AI161" s="12"/>
      <c r="AJ161" s="60"/>
    </row>
    <row r="162" spans="2:36" ht="15.75" customHeight="1">
      <c r="B162" s="309" t="s">
        <v>504</v>
      </c>
      <c r="C162" s="131"/>
      <c r="D162" s="131"/>
      <c r="E162" s="9"/>
      <c r="F162" s="155" t="s">
        <v>505</v>
      </c>
      <c r="G162" s="156">
        <v>1</v>
      </c>
      <c r="H162" s="156">
        <v>1</v>
      </c>
      <c r="I162" s="156">
        <v>1</v>
      </c>
      <c r="J162" s="156">
        <v>1</v>
      </c>
      <c r="K162" s="156">
        <v>1</v>
      </c>
      <c r="L162" s="48"/>
      <c r="M162" s="156">
        <v>1</v>
      </c>
      <c r="N162" s="11"/>
      <c r="O162" s="12"/>
      <c r="P162" s="12"/>
      <c r="Q162" s="12"/>
      <c r="R162" s="12"/>
      <c r="S162" s="12"/>
      <c r="T162" s="33"/>
      <c r="U162" s="11"/>
      <c r="V162" s="12"/>
      <c r="W162" s="12"/>
      <c r="X162" s="12"/>
      <c r="Y162" s="12"/>
      <c r="Z162" s="12"/>
      <c r="AA162" s="33"/>
      <c r="AB162" s="11"/>
      <c r="AC162" s="12"/>
      <c r="AD162" s="12"/>
      <c r="AE162" s="12"/>
      <c r="AF162" s="12"/>
      <c r="AG162" s="12"/>
      <c r="AH162" s="12"/>
      <c r="AI162" s="12"/>
      <c r="AJ162" s="60"/>
    </row>
    <row r="163" spans="2:36" ht="15.75" customHeight="1">
      <c r="B163" s="132"/>
      <c r="C163" s="131"/>
      <c r="D163" s="131"/>
      <c r="E163" s="13"/>
      <c r="F163" s="49" t="s">
        <v>196</v>
      </c>
      <c r="G163" s="157">
        <v>57.67</v>
      </c>
      <c r="H163" s="157">
        <v>18.600000000000001</v>
      </c>
      <c r="I163" s="157">
        <v>151.08000000000001</v>
      </c>
      <c r="J163" s="157">
        <v>7.76</v>
      </c>
      <c r="K163" s="157">
        <v>0.96</v>
      </c>
      <c r="L163" s="49"/>
      <c r="M163" s="49" t="s">
        <v>93</v>
      </c>
      <c r="N163" s="18"/>
      <c r="O163" s="17"/>
      <c r="P163" s="17"/>
      <c r="Q163" s="17"/>
      <c r="R163" s="17"/>
      <c r="S163" s="17"/>
      <c r="T163" s="33"/>
      <c r="U163" s="18"/>
      <c r="V163" s="17"/>
      <c r="W163" s="17"/>
      <c r="X163" s="17"/>
      <c r="Y163" s="17"/>
      <c r="Z163" s="17"/>
      <c r="AA163" s="33"/>
      <c r="AB163" s="18"/>
      <c r="AC163" s="17"/>
      <c r="AD163" s="17"/>
      <c r="AE163" s="17"/>
      <c r="AF163" s="17"/>
      <c r="AG163" s="17"/>
      <c r="AH163" s="17"/>
      <c r="AI163" s="17"/>
      <c r="AJ163" s="18"/>
    </row>
    <row r="164" spans="2:36" ht="15.75" customHeight="1">
      <c r="B164" s="131"/>
      <c r="C164" s="131"/>
      <c r="D164" s="131"/>
      <c r="E164" s="7" t="s">
        <v>506</v>
      </c>
      <c r="F164" s="8"/>
      <c r="G164" s="8"/>
      <c r="H164" s="8"/>
      <c r="I164" s="8"/>
      <c r="J164" s="8"/>
      <c r="K164" s="8"/>
      <c r="L164" s="8"/>
      <c r="M164" s="8"/>
      <c r="N164" s="4"/>
      <c r="O164" s="4"/>
      <c r="P164" s="4"/>
      <c r="Q164" s="4"/>
      <c r="R164" s="4"/>
      <c r="S164" s="4"/>
      <c r="T164" s="59"/>
      <c r="U164" s="4"/>
      <c r="V164" s="4"/>
      <c r="W164" s="4"/>
      <c r="X164" s="4"/>
      <c r="Y164" s="4"/>
      <c r="Z164" s="4"/>
      <c r="AA164" s="59"/>
      <c r="AB164" s="4"/>
      <c r="AC164" s="4"/>
      <c r="AD164" s="4"/>
      <c r="AE164" s="4"/>
      <c r="AF164" s="4"/>
      <c r="AG164" s="4"/>
      <c r="AH164" s="4"/>
      <c r="AI164" s="4"/>
      <c r="AJ164" s="4"/>
    </row>
    <row r="165" spans="2:36" ht="15.75" customHeight="1">
      <c r="B165" s="312" t="s">
        <v>507</v>
      </c>
      <c r="C165" s="131"/>
      <c r="D165" s="131"/>
      <c r="E165" s="13"/>
      <c r="F165" s="158" t="s">
        <v>508</v>
      </c>
      <c r="G165" s="159">
        <v>1</v>
      </c>
      <c r="H165" s="159">
        <v>1</v>
      </c>
      <c r="I165" s="159">
        <v>1</v>
      </c>
      <c r="J165" s="159">
        <v>1</v>
      </c>
      <c r="K165" s="159">
        <v>1</v>
      </c>
      <c r="L165" s="49"/>
      <c r="M165" s="156">
        <v>1</v>
      </c>
      <c r="N165" s="18"/>
      <c r="O165" s="17"/>
      <c r="P165" s="17"/>
      <c r="Q165" s="17"/>
      <c r="R165" s="17"/>
      <c r="S165" s="17"/>
      <c r="T165" s="33"/>
      <c r="U165" s="18"/>
      <c r="V165" s="17"/>
      <c r="W165" s="17"/>
      <c r="X165" s="17"/>
      <c r="Y165" s="17"/>
      <c r="Z165" s="17"/>
      <c r="AA165" s="33"/>
      <c r="AB165" s="18"/>
      <c r="AC165" s="17"/>
      <c r="AD165" s="17"/>
      <c r="AE165" s="17"/>
      <c r="AF165" s="17"/>
      <c r="AG165" s="17"/>
      <c r="AH165" s="17"/>
      <c r="AI165" s="17"/>
      <c r="AJ165" s="18"/>
    </row>
    <row r="166" spans="2:36" ht="15.75" customHeight="1">
      <c r="B166" s="312" t="s">
        <v>509</v>
      </c>
      <c r="C166" s="131"/>
      <c r="D166" s="131"/>
      <c r="E166" s="13"/>
      <c r="F166" s="158" t="s">
        <v>510</v>
      </c>
      <c r="G166" s="159">
        <v>1</v>
      </c>
      <c r="H166" s="159">
        <v>1</v>
      </c>
      <c r="I166" s="159">
        <v>1</v>
      </c>
      <c r="J166" s="159">
        <v>1</v>
      </c>
      <c r="K166" s="159">
        <v>1</v>
      </c>
      <c r="L166" s="49"/>
      <c r="M166" s="156">
        <v>1</v>
      </c>
      <c r="N166" s="18"/>
      <c r="O166" s="17"/>
      <c r="P166" s="17"/>
      <c r="Q166" s="17"/>
      <c r="R166" s="17"/>
      <c r="S166" s="17"/>
      <c r="T166" s="33"/>
      <c r="U166" s="18"/>
      <c r="V166" s="17"/>
      <c r="W166" s="17"/>
      <c r="X166" s="17"/>
      <c r="Y166" s="17"/>
      <c r="Z166" s="17"/>
      <c r="AA166" s="33"/>
      <c r="AB166" s="18"/>
      <c r="AC166" s="17"/>
      <c r="AD166" s="17"/>
      <c r="AE166" s="17"/>
      <c r="AF166" s="17"/>
      <c r="AG166" s="17"/>
      <c r="AH166" s="17"/>
      <c r="AI166" s="17"/>
      <c r="AJ166" s="18"/>
    </row>
    <row r="167" spans="2:36" ht="15.75" customHeight="1">
      <c r="B167" s="312" t="s">
        <v>511</v>
      </c>
      <c r="C167" s="131"/>
      <c r="D167" s="131"/>
      <c r="E167" s="13"/>
      <c r="F167" s="158" t="s">
        <v>45</v>
      </c>
      <c r="G167" s="160">
        <v>0</v>
      </c>
      <c r="H167" s="160">
        <v>0</v>
      </c>
      <c r="I167" s="160">
        <v>0</v>
      </c>
      <c r="J167" s="160">
        <v>0</v>
      </c>
      <c r="K167" s="160">
        <v>0</v>
      </c>
      <c r="L167" s="49"/>
      <c r="M167" s="160">
        <v>0</v>
      </c>
      <c r="N167" s="18">
        <f>SUM(G167:M167)</f>
        <v>0</v>
      </c>
      <c r="O167" s="17"/>
      <c r="P167" s="17"/>
      <c r="Q167" s="17"/>
      <c r="R167" s="17"/>
      <c r="S167" s="17"/>
      <c r="T167" s="33"/>
      <c r="U167" s="18"/>
      <c r="V167" s="17"/>
      <c r="W167" s="17"/>
      <c r="X167" s="17"/>
      <c r="Y167" s="17"/>
      <c r="Z167" s="17"/>
      <c r="AA167" s="33"/>
      <c r="AB167" s="18"/>
      <c r="AC167" s="17"/>
      <c r="AD167" s="17"/>
      <c r="AE167" s="17"/>
      <c r="AF167" s="17"/>
      <c r="AG167" s="17"/>
      <c r="AH167" s="17"/>
      <c r="AI167" s="17"/>
      <c r="AJ167" s="18"/>
    </row>
    <row r="168" spans="2:36" ht="15.75" customHeight="1">
      <c r="B168" s="312" t="s">
        <v>512</v>
      </c>
      <c r="C168" s="131"/>
      <c r="D168" s="131"/>
      <c r="E168" s="13"/>
      <c r="F168" s="158" t="s">
        <v>46</v>
      </c>
      <c r="G168" s="160">
        <v>0</v>
      </c>
      <c r="H168" s="160">
        <v>0</v>
      </c>
      <c r="I168" s="160">
        <v>0</v>
      </c>
      <c r="J168" s="160">
        <v>0</v>
      </c>
      <c r="K168" s="160">
        <v>0</v>
      </c>
      <c r="L168" s="49"/>
      <c r="M168" s="160">
        <v>0</v>
      </c>
      <c r="N168" s="18">
        <f>SUM(G168:M168)</f>
        <v>0</v>
      </c>
      <c r="O168" s="17"/>
      <c r="P168" s="17"/>
      <c r="Q168" s="17"/>
      <c r="R168" s="17"/>
      <c r="S168" s="17"/>
      <c r="T168" s="33"/>
      <c r="U168" s="18"/>
      <c r="V168" s="17"/>
      <c r="W168" s="17"/>
      <c r="X168" s="17"/>
      <c r="Y168" s="17"/>
      <c r="Z168" s="17"/>
      <c r="AA168" s="33"/>
      <c r="AB168" s="18"/>
      <c r="AC168" s="17"/>
      <c r="AD168" s="17"/>
      <c r="AE168" s="17"/>
      <c r="AF168" s="17"/>
      <c r="AG168" s="17"/>
      <c r="AH168" s="17"/>
      <c r="AI168" s="17"/>
      <c r="AJ168" s="18"/>
    </row>
    <row r="169" spans="2:36" ht="15.75" customHeight="1">
      <c r="B169" s="312" t="s">
        <v>513</v>
      </c>
      <c r="C169" s="131"/>
      <c r="D169" s="131"/>
      <c r="E169" s="13"/>
      <c r="F169" s="158" t="s">
        <v>47</v>
      </c>
      <c r="G169" s="160">
        <v>0</v>
      </c>
      <c r="H169" s="160">
        <v>0</v>
      </c>
      <c r="I169" s="160">
        <v>0</v>
      </c>
      <c r="J169" s="160">
        <v>0</v>
      </c>
      <c r="K169" s="160">
        <v>0</v>
      </c>
      <c r="L169" s="49"/>
      <c r="M169" s="160">
        <v>0</v>
      </c>
      <c r="N169" s="18">
        <f>SUM(G169:M169)</f>
        <v>0</v>
      </c>
      <c r="O169" s="17"/>
      <c r="P169" s="17"/>
      <c r="Q169" s="17"/>
      <c r="R169" s="17"/>
      <c r="S169" s="17"/>
      <c r="T169" s="33"/>
      <c r="U169" s="18"/>
      <c r="V169" s="17"/>
      <c r="W169" s="17"/>
      <c r="X169" s="17"/>
      <c r="Y169" s="17"/>
      <c r="Z169" s="17"/>
      <c r="AA169" s="33"/>
      <c r="AB169" s="18"/>
      <c r="AC169" s="17"/>
      <c r="AD169" s="17"/>
      <c r="AE169" s="17"/>
      <c r="AF169" s="17"/>
      <c r="AG169" s="17"/>
      <c r="AH169" s="17"/>
      <c r="AI169" s="17"/>
      <c r="AJ169" s="18"/>
    </row>
    <row r="170" spans="2:36" ht="15.75" customHeight="1">
      <c r="B170" s="131"/>
      <c r="C170" s="131"/>
      <c r="D170" s="131"/>
      <c r="E170" s="285"/>
      <c r="F170" s="286"/>
      <c r="G170" s="286"/>
      <c r="H170" s="286"/>
      <c r="I170" s="286"/>
      <c r="J170" s="286"/>
      <c r="K170" s="286"/>
      <c r="L170" s="286"/>
      <c r="M170" s="286"/>
      <c r="N170" s="291"/>
      <c r="O170" s="288"/>
      <c r="P170" s="288"/>
      <c r="Q170" s="288"/>
      <c r="R170" s="288"/>
      <c r="S170" s="288"/>
      <c r="T170" s="313"/>
      <c r="U170" s="291"/>
      <c r="V170" s="288"/>
      <c r="W170" s="288"/>
      <c r="X170" s="288"/>
      <c r="Y170" s="288"/>
      <c r="Z170" s="288"/>
      <c r="AA170" s="313"/>
      <c r="AB170" s="288"/>
      <c r="AC170" s="288"/>
      <c r="AD170" s="288"/>
      <c r="AE170" s="288"/>
      <c r="AF170" s="288"/>
      <c r="AG170" s="288"/>
      <c r="AH170" s="288"/>
      <c r="AI170" s="288"/>
      <c r="AJ170" s="288"/>
    </row>
    <row r="171" spans="2:36" ht="15.75" customHeight="1">
      <c r="B171" s="131"/>
      <c r="C171" s="131"/>
      <c r="D171" s="131"/>
      <c r="E171" s="7" t="s">
        <v>193</v>
      </c>
      <c r="F171" s="8"/>
      <c r="G171" s="8"/>
      <c r="H171" s="8"/>
      <c r="I171" s="8"/>
      <c r="J171" s="8"/>
      <c r="K171" s="8"/>
      <c r="L171" s="8"/>
      <c r="M171" s="8"/>
      <c r="N171" s="4"/>
      <c r="O171" s="4"/>
      <c r="P171" s="4"/>
      <c r="Q171" s="4"/>
      <c r="R171" s="4"/>
      <c r="S171" s="4"/>
      <c r="T171" s="59"/>
      <c r="U171" s="4"/>
      <c r="V171" s="4"/>
      <c r="W171" s="4"/>
      <c r="X171" s="4"/>
      <c r="Y171" s="4"/>
      <c r="Z171" s="4"/>
      <c r="AA171" s="59"/>
      <c r="AB171" s="4"/>
      <c r="AC171" s="4"/>
      <c r="AD171" s="4"/>
      <c r="AE171" s="4"/>
      <c r="AF171" s="4"/>
      <c r="AG171" s="4"/>
      <c r="AH171" s="4"/>
      <c r="AI171" s="4"/>
      <c r="AJ171" s="4"/>
    </row>
    <row r="172" spans="2:36" ht="15.75" customHeight="1">
      <c r="B172" s="131"/>
      <c r="C172" s="132"/>
      <c r="D172" s="132"/>
      <c r="E172" s="9"/>
      <c r="F172" s="48" t="s">
        <v>194</v>
      </c>
      <c r="G172" s="161">
        <v>45.45</v>
      </c>
      <c r="H172" s="161">
        <v>16.41</v>
      </c>
      <c r="I172" s="161">
        <v>126.6</v>
      </c>
      <c r="J172" s="161">
        <v>3.44</v>
      </c>
      <c r="K172" s="161" t="s">
        <v>93</v>
      </c>
      <c r="L172" s="162" t="s">
        <v>93</v>
      </c>
      <c r="M172" s="162" t="s">
        <v>93</v>
      </c>
      <c r="N172" s="11">
        <f>SUM(G172:M172)</f>
        <v>191.89999999999998</v>
      </c>
      <c r="O172" s="163">
        <v>2905</v>
      </c>
      <c r="P172" s="12">
        <v>1764</v>
      </c>
      <c r="Q172" s="12">
        <v>5808</v>
      </c>
      <c r="R172" s="12">
        <v>0</v>
      </c>
      <c r="S172" s="12">
        <v>60</v>
      </c>
      <c r="T172" s="33" t="s">
        <v>26</v>
      </c>
      <c r="U172" s="11">
        <f>SUM(O172:T172)</f>
        <v>10537</v>
      </c>
      <c r="V172" s="12">
        <v>16134</v>
      </c>
      <c r="W172" s="12">
        <v>4644</v>
      </c>
      <c r="X172" s="12">
        <v>2647</v>
      </c>
      <c r="Y172" s="12">
        <v>0</v>
      </c>
      <c r="Z172" s="12">
        <v>0</v>
      </c>
      <c r="AA172" s="33" t="s">
        <v>26</v>
      </c>
      <c r="AB172" s="11">
        <f>SUM(V172:AA172)</f>
        <v>23425</v>
      </c>
      <c r="AC172" s="12">
        <f>30956-AC140</f>
        <v>14781</v>
      </c>
      <c r="AD172" s="12">
        <f>11813-AD140</f>
        <v>7216</v>
      </c>
      <c r="AE172" s="12">
        <v>1323</v>
      </c>
      <c r="AF172" s="12">
        <f>31107-(AC174+AD174+AE174)</f>
        <v>1951</v>
      </c>
      <c r="AG172" s="12"/>
      <c r="AH172" s="12"/>
      <c r="AI172" s="12"/>
      <c r="AJ172" s="60" t="s">
        <v>93</v>
      </c>
    </row>
    <row r="173" spans="2:36" ht="15.75" customHeight="1">
      <c r="B173" s="131"/>
      <c r="C173" s="131"/>
      <c r="D173" s="131"/>
      <c r="E173" s="9"/>
      <c r="F173" s="48" t="s">
        <v>195</v>
      </c>
      <c r="G173" s="161">
        <v>12.22</v>
      </c>
      <c r="H173" s="161">
        <v>2.2000000000000002</v>
      </c>
      <c r="I173" s="161">
        <v>24.48</v>
      </c>
      <c r="J173" s="161">
        <v>4.32</v>
      </c>
      <c r="K173" s="161">
        <v>0.96</v>
      </c>
      <c r="L173" s="162" t="s">
        <v>93</v>
      </c>
      <c r="M173" s="162" t="s">
        <v>93</v>
      </c>
      <c r="N173" s="11">
        <f>SUM(G173:M173)</f>
        <v>44.180000000000007</v>
      </c>
      <c r="O173" s="12">
        <v>465</v>
      </c>
      <c r="P173" s="12">
        <v>220</v>
      </c>
      <c r="Q173" s="12">
        <v>930</v>
      </c>
      <c r="R173" s="12">
        <v>136</v>
      </c>
      <c r="S173" s="12">
        <f>286+62</f>
        <v>348</v>
      </c>
      <c r="T173" s="33" t="s">
        <v>26</v>
      </c>
      <c r="U173" s="11">
        <f>SUM(O173:T173)</f>
        <v>2099</v>
      </c>
      <c r="V173" s="12">
        <f>2394+657</f>
        <v>3051</v>
      </c>
      <c r="W173" s="12">
        <v>1647</v>
      </c>
      <c r="X173" s="12">
        <v>200</v>
      </c>
      <c r="Y173" s="12">
        <v>179</v>
      </c>
      <c r="Z173" s="12">
        <v>240</v>
      </c>
      <c r="AA173" s="33" t="s">
        <v>26</v>
      </c>
      <c r="AB173" s="11">
        <f>SUM(V173:AA173)</f>
        <v>5317</v>
      </c>
      <c r="AC173" s="12">
        <f>37918-AC119</f>
        <v>2992</v>
      </c>
      <c r="AD173" s="12">
        <f>18961-AD119</f>
        <v>2684</v>
      </c>
      <c r="AE173" s="12">
        <v>160</v>
      </c>
      <c r="AF173" s="12">
        <v>0</v>
      </c>
      <c r="AG173" s="12"/>
      <c r="AH173" s="12"/>
      <c r="AI173" s="12"/>
      <c r="AJ173" s="60" t="s">
        <v>93</v>
      </c>
    </row>
    <row r="174" spans="2:36" ht="15.75" customHeight="1">
      <c r="B174" s="132"/>
      <c r="C174" s="131"/>
      <c r="D174" s="131"/>
      <c r="E174" s="13"/>
      <c r="F174" s="49" t="s">
        <v>196</v>
      </c>
      <c r="G174" s="164">
        <v>57.67</v>
      </c>
      <c r="H174" s="164">
        <v>18.61</v>
      </c>
      <c r="I174" s="164">
        <v>151.08000000000001</v>
      </c>
      <c r="J174" s="164">
        <v>7.76</v>
      </c>
      <c r="K174" s="164">
        <v>0.96</v>
      </c>
      <c r="L174" s="165"/>
      <c r="M174" s="165"/>
      <c r="N174" s="18">
        <f t="shared" ref="N174:S174" si="74">SUM(N172:N173)</f>
        <v>236.07999999999998</v>
      </c>
      <c r="O174" s="17">
        <f t="shared" si="74"/>
        <v>3370</v>
      </c>
      <c r="P174" s="17">
        <f t="shared" si="74"/>
        <v>1984</v>
      </c>
      <c r="Q174" s="17">
        <f t="shared" si="74"/>
        <v>6738</v>
      </c>
      <c r="R174" s="17">
        <f t="shared" si="74"/>
        <v>136</v>
      </c>
      <c r="S174" s="17">
        <f t="shared" si="74"/>
        <v>408</v>
      </c>
      <c r="T174" s="33" t="s">
        <v>26</v>
      </c>
      <c r="U174" s="18">
        <f t="shared" ref="U174:Z174" si="75">SUM(U172:U173)</f>
        <v>12636</v>
      </c>
      <c r="V174" s="17">
        <f t="shared" si="75"/>
        <v>19185</v>
      </c>
      <c r="W174" s="17">
        <f t="shared" si="75"/>
        <v>6291</v>
      </c>
      <c r="X174" s="17">
        <f t="shared" si="75"/>
        <v>2847</v>
      </c>
      <c r="Y174" s="17">
        <f t="shared" si="75"/>
        <v>179</v>
      </c>
      <c r="Z174" s="17">
        <f t="shared" si="75"/>
        <v>240</v>
      </c>
      <c r="AA174" s="33" t="s">
        <v>26</v>
      </c>
      <c r="AB174" s="18">
        <f t="shared" ref="AB174:AI174" si="76">SUM(AB172:AB173)</f>
        <v>28742</v>
      </c>
      <c r="AC174" s="17">
        <f t="shared" si="76"/>
        <v>17773</v>
      </c>
      <c r="AD174" s="17">
        <f t="shared" si="76"/>
        <v>9900</v>
      </c>
      <c r="AE174" s="17">
        <f t="shared" si="76"/>
        <v>1483</v>
      </c>
      <c r="AF174" s="17">
        <f t="shared" si="76"/>
        <v>1951</v>
      </c>
      <c r="AG174" s="17">
        <f t="shared" si="76"/>
        <v>0</v>
      </c>
      <c r="AH174" s="17">
        <f t="shared" si="76"/>
        <v>0</v>
      </c>
      <c r="AI174" s="17">
        <f t="shared" si="76"/>
        <v>0</v>
      </c>
      <c r="AJ174" s="18">
        <f>110912-AJ156</f>
        <v>31107</v>
      </c>
    </row>
    <row r="175" spans="2:36" ht="15.75" customHeight="1">
      <c r="B175" s="131"/>
      <c r="C175" s="131"/>
      <c r="D175" s="131"/>
      <c r="E175" s="285"/>
      <c r="F175" s="286"/>
      <c r="G175" s="286"/>
      <c r="H175" s="286"/>
      <c r="I175" s="286"/>
      <c r="J175" s="286"/>
      <c r="K175" s="286"/>
      <c r="L175" s="286"/>
      <c r="M175" s="286"/>
      <c r="N175" s="288"/>
      <c r="O175" s="288"/>
      <c r="P175" s="288"/>
      <c r="Q175" s="288"/>
      <c r="R175" s="288"/>
      <c r="S175" s="288"/>
      <c r="T175" s="288"/>
      <c r="U175" s="288"/>
      <c r="V175" s="288"/>
      <c r="W175" s="288"/>
      <c r="X175" s="288"/>
      <c r="Y175" s="288"/>
      <c r="Z175" s="288"/>
      <c r="AA175" s="288"/>
      <c r="AB175" s="288"/>
      <c r="AC175" s="288"/>
      <c r="AD175" s="288"/>
      <c r="AE175" s="288"/>
      <c r="AF175" s="288"/>
      <c r="AG175" s="288"/>
      <c r="AH175" s="288"/>
      <c r="AI175" s="288"/>
      <c r="AJ175" s="288"/>
    </row>
    <row r="176" spans="2:36" ht="15.75" customHeight="1">
      <c r="B176" s="131" t="s">
        <v>514</v>
      </c>
      <c r="C176" s="131"/>
      <c r="D176" s="131"/>
      <c r="E176" s="7" t="s">
        <v>216</v>
      </c>
      <c r="F176" s="8"/>
      <c r="G176" s="8"/>
      <c r="H176" s="8"/>
      <c r="I176" s="8"/>
      <c r="J176" s="8"/>
      <c r="K176" s="8"/>
      <c r="L176" s="8"/>
      <c r="M176" s="8"/>
      <c r="N176" s="4"/>
      <c r="O176" s="4"/>
      <c r="P176" s="4"/>
      <c r="Q176" s="4"/>
      <c r="R176" s="4"/>
      <c r="S176" s="4"/>
      <c r="T176" s="4"/>
      <c r="U176" s="4"/>
      <c r="V176" s="4"/>
      <c r="W176" s="4"/>
      <c r="X176" s="4"/>
      <c r="Y176" s="4"/>
      <c r="Z176" s="4"/>
      <c r="AA176" s="4"/>
      <c r="AB176" s="4"/>
      <c r="AC176" s="4"/>
      <c r="AD176" s="4"/>
      <c r="AE176" s="4"/>
      <c r="AF176" s="4"/>
      <c r="AG176" s="4"/>
      <c r="AH176" s="4"/>
      <c r="AI176" s="4"/>
      <c r="AJ176" s="4"/>
    </row>
    <row r="177" spans="2:37" ht="15.75" customHeight="1">
      <c r="B177" s="131" t="s">
        <v>514</v>
      </c>
      <c r="C177" s="131"/>
      <c r="D177" s="131"/>
      <c r="E177" s="9"/>
      <c r="F177" s="10" t="s">
        <v>197</v>
      </c>
      <c r="G177" s="10">
        <v>113</v>
      </c>
      <c r="H177" s="10">
        <v>84</v>
      </c>
      <c r="I177" s="10">
        <v>110</v>
      </c>
      <c r="J177" s="10">
        <v>22</v>
      </c>
      <c r="K177" s="10">
        <v>39</v>
      </c>
      <c r="L177" s="10"/>
      <c r="M177" s="10">
        <f>M6</f>
        <v>8</v>
      </c>
      <c r="N177" s="11">
        <f>SUM(G177:M177)</f>
        <v>376</v>
      </c>
      <c r="O177" s="12">
        <v>117</v>
      </c>
      <c r="P177" s="12">
        <v>89</v>
      </c>
      <c r="Q177" s="12">
        <v>37</v>
      </c>
      <c r="R177" s="12">
        <v>45</v>
      </c>
      <c r="S177" s="12">
        <v>20</v>
      </c>
      <c r="T177" s="12">
        <f>T35</f>
        <v>9</v>
      </c>
      <c r="U177" s="11">
        <f>SUM(O177:T177)</f>
        <v>317</v>
      </c>
      <c r="V177" s="12">
        <f t="shared" ref="V177:Y178" si="77">V35</f>
        <v>124</v>
      </c>
      <c r="W177" s="12">
        <f t="shared" si="77"/>
        <v>89</v>
      </c>
      <c r="X177" s="12">
        <f t="shared" si="77"/>
        <v>44</v>
      </c>
      <c r="Y177" s="12">
        <f t="shared" si="77"/>
        <v>50</v>
      </c>
      <c r="Z177" s="12">
        <v>7</v>
      </c>
      <c r="AA177" s="12">
        <f>AA35</f>
        <v>18</v>
      </c>
      <c r="AB177" s="11">
        <f>SUM(V177:AA177)</f>
        <v>332</v>
      </c>
      <c r="AC177" s="12">
        <v>106</v>
      </c>
      <c r="AD177" s="12">
        <v>81</v>
      </c>
      <c r="AE177" s="12">
        <v>26</v>
      </c>
      <c r="AF177" s="12">
        <v>2</v>
      </c>
      <c r="AG177" s="12">
        <v>33</v>
      </c>
      <c r="AH177" s="12">
        <v>16</v>
      </c>
      <c r="AI177" s="12">
        <v>2</v>
      </c>
      <c r="AJ177" s="11">
        <f>SUM(AC177:AI177)</f>
        <v>266</v>
      </c>
      <c r="AK177" s="4"/>
    </row>
    <row r="178" spans="2:37" ht="15.75" customHeight="1">
      <c r="B178" s="131" t="s">
        <v>514</v>
      </c>
      <c r="C178" s="132"/>
      <c r="D178" s="132"/>
      <c r="E178" s="10"/>
      <c r="F178" s="10" t="s">
        <v>198</v>
      </c>
      <c r="G178" s="10">
        <v>31</v>
      </c>
      <c r="H178" s="10">
        <v>21</v>
      </c>
      <c r="I178" s="10">
        <v>21</v>
      </c>
      <c r="J178" s="10">
        <v>8</v>
      </c>
      <c r="K178" s="10">
        <v>34</v>
      </c>
      <c r="L178" s="10"/>
      <c r="M178" s="10">
        <f>M7</f>
        <v>11</v>
      </c>
      <c r="N178" s="11">
        <f>SUM(G178:M178)</f>
        <v>126</v>
      </c>
      <c r="O178" s="12">
        <v>30</v>
      </c>
      <c r="P178" s="12">
        <v>22</v>
      </c>
      <c r="Q178" s="12">
        <v>7</v>
      </c>
      <c r="R178" s="12">
        <v>30</v>
      </c>
      <c r="S178" s="12">
        <v>6</v>
      </c>
      <c r="T178" s="12">
        <f>T36</f>
        <v>10</v>
      </c>
      <c r="U178" s="11">
        <f>SUM(O178:T178)</f>
        <v>105</v>
      </c>
      <c r="V178" s="12">
        <f t="shared" si="77"/>
        <v>32</v>
      </c>
      <c r="W178" s="12">
        <f t="shared" si="77"/>
        <v>23</v>
      </c>
      <c r="X178" s="12">
        <f t="shared" si="77"/>
        <v>10</v>
      </c>
      <c r="Y178" s="12">
        <f t="shared" si="77"/>
        <v>32</v>
      </c>
      <c r="Z178" s="12">
        <v>4</v>
      </c>
      <c r="AA178" s="12">
        <f>AA36</f>
        <v>7</v>
      </c>
      <c r="AB178" s="11">
        <f>SUM(V178:AA178)</f>
        <v>108</v>
      </c>
      <c r="AC178" s="12">
        <v>27</v>
      </c>
      <c r="AD178" s="12">
        <v>22</v>
      </c>
      <c r="AE178" s="12">
        <v>11</v>
      </c>
      <c r="AF178" s="12">
        <v>0</v>
      </c>
      <c r="AG178" s="12">
        <v>29</v>
      </c>
      <c r="AH178" s="12">
        <v>7</v>
      </c>
      <c r="AI178" s="12">
        <v>3</v>
      </c>
      <c r="AJ178" s="11">
        <f>SUM(AC178:AI178)</f>
        <v>99</v>
      </c>
      <c r="AK178" s="4"/>
    </row>
    <row r="179" spans="2:37" ht="15.75" customHeight="1">
      <c r="B179" s="131" t="s">
        <v>514</v>
      </c>
      <c r="C179" s="131"/>
      <c r="D179" s="131"/>
      <c r="E179" s="10"/>
      <c r="F179" s="10" t="s">
        <v>199</v>
      </c>
      <c r="G179" s="10">
        <f>+G177+G178</f>
        <v>144</v>
      </c>
      <c r="H179" s="10">
        <f>+H177+H178</f>
        <v>105</v>
      </c>
      <c r="I179" s="10">
        <f>+I177+I178</f>
        <v>131</v>
      </c>
      <c r="J179" s="10">
        <f>+J177+J178</f>
        <v>30</v>
      </c>
      <c r="K179" s="10">
        <f>+K177+K178</f>
        <v>73</v>
      </c>
      <c r="L179" s="10"/>
      <c r="M179" s="10">
        <f>+M177+M178</f>
        <v>19</v>
      </c>
      <c r="N179" s="11">
        <f t="shared" ref="N179:AJ179" si="78">SUM(N177:N178)</f>
        <v>502</v>
      </c>
      <c r="O179" s="12">
        <f t="shared" si="78"/>
        <v>147</v>
      </c>
      <c r="P179" s="12">
        <f t="shared" si="78"/>
        <v>111</v>
      </c>
      <c r="Q179" s="12">
        <f t="shared" si="78"/>
        <v>44</v>
      </c>
      <c r="R179" s="12">
        <f t="shared" si="78"/>
        <v>75</v>
      </c>
      <c r="S179" s="12">
        <f t="shared" si="78"/>
        <v>26</v>
      </c>
      <c r="T179" s="12">
        <f t="shared" si="78"/>
        <v>19</v>
      </c>
      <c r="U179" s="11">
        <f t="shared" si="78"/>
        <v>422</v>
      </c>
      <c r="V179" s="12">
        <f t="shared" si="78"/>
        <v>156</v>
      </c>
      <c r="W179" s="12">
        <f t="shared" si="78"/>
        <v>112</v>
      </c>
      <c r="X179" s="12">
        <f t="shared" si="78"/>
        <v>54</v>
      </c>
      <c r="Y179" s="12">
        <f t="shared" si="78"/>
        <v>82</v>
      </c>
      <c r="Z179" s="12">
        <f t="shared" si="78"/>
        <v>11</v>
      </c>
      <c r="AA179" s="12">
        <f t="shared" si="78"/>
        <v>25</v>
      </c>
      <c r="AB179" s="11">
        <f t="shared" si="78"/>
        <v>440</v>
      </c>
      <c r="AC179" s="12">
        <f t="shared" si="78"/>
        <v>133</v>
      </c>
      <c r="AD179" s="12">
        <f t="shared" si="78"/>
        <v>103</v>
      </c>
      <c r="AE179" s="12">
        <f t="shared" si="78"/>
        <v>37</v>
      </c>
      <c r="AF179" s="12">
        <f t="shared" si="78"/>
        <v>2</v>
      </c>
      <c r="AG179" s="12">
        <f t="shared" si="78"/>
        <v>62</v>
      </c>
      <c r="AH179" s="12">
        <f t="shared" si="78"/>
        <v>23</v>
      </c>
      <c r="AI179" s="12">
        <f t="shared" si="78"/>
        <v>5</v>
      </c>
      <c r="AJ179" s="11">
        <f t="shared" si="78"/>
        <v>365</v>
      </c>
      <c r="AK179" s="4"/>
    </row>
    <row r="180" spans="2:37" ht="15.75" customHeight="1">
      <c r="B180" s="131" t="s">
        <v>514</v>
      </c>
      <c r="C180" s="131"/>
      <c r="D180" s="131"/>
      <c r="E180" s="14"/>
      <c r="F180" s="14" t="s">
        <v>200</v>
      </c>
      <c r="G180" s="43">
        <f>+G179/G8</f>
        <v>0.25899280575539568</v>
      </c>
      <c r="H180" s="43">
        <f>+H179/H8</f>
        <v>0.20958083832335328</v>
      </c>
      <c r="I180" s="43">
        <f>+I179/I8</f>
        <v>0.45017182130584193</v>
      </c>
      <c r="J180" s="43">
        <f>+J179/J8</f>
        <v>0.36144578313253012</v>
      </c>
      <c r="K180" s="43">
        <f>+K179/K8</f>
        <v>0.96052631578947367</v>
      </c>
      <c r="L180" s="43"/>
      <c r="M180" s="43">
        <f>+M179/M8</f>
        <v>1</v>
      </c>
      <c r="N180" s="47">
        <f t="shared" ref="N180:AJ180" si="79">N179/N8</f>
        <v>0.32896461336828309</v>
      </c>
      <c r="O180" s="45">
        <f t="shared" si="79"/>
        <v>0.26156583629893237</v>
      </c>
      <c r="P180" s="45">
        <f t="shared" si="79"/>
        <v>0.22023809523809523</v>
      </c>
      <c r="Q180" s="45">
        <f t="shared" si="79"/>
        <v>0.34920634920634919</v>
      </c>
      <c r="R180" s="45">
        <f t="shared" si="79"/>
        <v>0.90361445783132532</v>
      </c>
      <c r="S180" s="45">
        <f t="shared" si="79"/>
        <v>0.32098765432098764</v>
      </c>
      <c r="T180" s="45">
        <f t="shared" si="79"/>
        <v>1</v>
      </c>
      <c r="U180" s="47">
        <f t="shared" si="79"/>
        <v>0.30690909090909091</v>
      </c>
      <c r="V180" s="45">
        <f t="shared" si="79"/>
        <v>0.29050279329608941</v>
      </c>
      <c r="W180" s="45">
        <f t="shared" si="79"/>
        <v>0.22266401590457258</v>
      </c>
      <c r="X180" s="45">
        <f t="shared" si="79"/>
        <v>0.78260869565217395</v>
      </c>
      <c r="Y180" s="45">
        <f t="shared" si="79"/>
        <v>1</v>
      </c>
      <c r="Z180" s="45">
        <f t="shared" si="79"/>
        <v>0.15068493150684931</v>
      </c>
      <c r="AA180" s="45">
        <f t="shared" si="79"/>
        <v>1</v>
      </c>
      <c r="AB180" s="47">
        <f t="shared" si="79"/>
        <v>0.3413498836307215</v>
      </c>
      <c r="AC180" s="45">
        <f t="shared" si="79"/>
        <v>0.24270072992700731</v>
      </c>
      <c r="AD180" s="45">
        <f t="shared" si="79"/>
        <v>0.20934959349593496</v>
      </c>
      <c r="AE180" s="45">
        <f t="shared" si="79"/>
        <v>0.60655737704918034</v>
      </c>
      <c r="AF180" s="45">
        <f t="shared" si="79"/>
        <v>1</v>
      </c>
      <c r="AG180" s="45">
        <f t="shared" si="79"/>
        <v>0.91176470588235292</v>
      </c>
      <c r="AH180" s="45">
        <f t="shared" si="79"/>
        <v>0.41818181818181815</v>
      </c>
      <c r="AI180" s="45">
        <f t="shared" si="79"/>
        <v>0.15151515151515152</v>
      </c>
      <c r="AJ180" s="47">
        <f t="shared" si="79"/>
        <v>0.28991262907069104</v>
      </c>
      <c r="AK180" s="19"/>
    </row>
    <row r="181" spans="2:37" ht="15.75" customHeight="1">
      <c r="B181" s="131"/>
      <c r="C181" s="131"/>
      <c r="D181" s="131"/>
      <c r="E181" s="23" t="s">
        <v>217</v>
      </c>
      <c r="F181" s="8"/>
      <c r="G181" s="8"/>
      <c r="H181" s="8"/>
      <c r="I181" s="8"/>
      <c r="J181" s="8"/>
      <c r="K181" s="8"/>
      <c r="L181" s="8"/>
      <c r="M181" s="8"/>
      <c r="N181" s="8"/>
      <c r="O181" s="4"/>
      <c r="P181" s="4"/>
      <c r="Q181" s="4"/>
      <c r="R181" s="4"/>
      <c r="S181" s="4"/>
      <c r="T181" s="25"/>
      <c r="U181" s="25"/>
      <c r="V181" s="4"/>
      <c r="W181" s="4"/>
      <c r="X181" s="4"/>
      <c r="Y181" s="4"/>
      <c r="Z181" s="4"/>
      <c r="AA181" s="25"/>
      <c r="AB181" s="25"/>
      <c r="AC181" s="25"/>
      <c r="AD181" s="25"/>
      <c r="AE181" s="25"/>
      <c r="AF181" s="25"/>
      <c r="AG181" s="25"/>
      <c r="AH181" s="25"/>
      <c r="AI181" s="25"/>
      <c r="AJ181" s="25"/>
      <c r="AK181" s="25"/>
    </row>
    <row r="182" spans="2:37" ht="15.75" customHeight="1">
      <c r="B182" s="131"/>
      <c r="C182" s="131"/>
      <c r="D182" s="131"/>
      <c r="E182" s="285"/>
      <c r="F182" s="286"/>
      <c r="G182" s="286"/>
      <c r="H182" s="286"/>
      <c r="I182" s="286"/>
      <c r="J182" s="286"/>
      <c r="K182" s="286"/>
      <c r="L182" s="286"/>
      <c r="M182" s="286"/>
      <c r="N182" s="286"/>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5"/>
    </row>
    <row r="183" spans="2:37" ht="15.75" customHeight="1">
      <c r="B183" s="131" t="s">
        <v>515</v>
      </c>
      <c r="C183" s="131"/>
      <c r="D183" s="131"/>
      <c r="E183" s="7" t="s">
        <v>201</v>
      </c>
      <c r="F183" s="8"/>
      <c r="G183" s="8"/>
      <c r="H183" s="8"/>
      <c r="I183" s="8"/>
      <c r="J183" s="8"/>
      <c r="K183" s="8"/>
      <c r="L183" s="8"/>
      <c r="M183" s="8"/>
      <c r="N183" s="4"/>
      <c r="O183" s="4"/>
      <c r="P183" s="4"/>
      <c r="Q183" s="4"/>
      <c r="R183" s="4"/>
      <c r="S183" s="4"/>
      <c r="T183" s="4"/>
      <c r="U183" s="4"/>
      <c r="V183" s="4"/>
      <c r="W183" s="4"/>
      <c r="X183" s="4"/>
      <c r="Y183" s="4"/>
      <c r="Z183" s="4"/>
      <c r="AA183" s="4"/>
      <c r="AB183" s="4"/>
      <c r="AC183" s="4"/>
      <c r="AD183" s="4"/>
      <c r="AE183" s="4"/>
      <c r="AF183" s="4"/>
      <c r="AG183" s="4"/>
      <c r="AH183" s="4"/>
      <c r="AI183" s="4"/>
      <c r="AJ183" s="4"/>
      <c r="AK183" s="4"/>
    </row>
    <row r="184" spans="2:37" ht="15.75" customHeight="1">
      <c r="B184" s="131" t="s">
        <v>516</v>
      </c>
      <c r="C184" s="131"/>
      <c r="D184" s="131"/>
      <c r="E184" s="9"/>
      <c r="F184" s="10" t="s">
        <v>202</v>
      </c>
      <c r="G184" s="10">
        <v>3</v>
      </c>
      <c r="H184" s="10">
        <v>1</v>
      </c>
      <c r="I184" s="10">
        <v>0</v>
      </c>
      <c r="J184" s="10">
        <v>0</v>
      </c>
      <c r="K184" s="10">
        <v>1</v>
      </c>
      <c r="L184" s="10"/>
      <c r="M184" s="10">
        <v>1</v>
      </c>
      <c r="N184" s="11">
        <f>SUM(G184:M184)</f>
        <v>6</v>
      </c>
      <c r="O184" s="12">
        <v>5</v>
      </c>
      <c r="P184" s="12">
        <v>3</v>
      </c>
      <c r="Q184" s="12">
        <v>1</v>
      </c>
      <c r="R184" s="12">
        <v>1</v>
      </c>
      <c r="S184" s="12">
        <v>1</v>
      </c>
      <c r="T184" s="12">
        <v>1</v>
      </c>
      <c r="U184" s="11">
        <f>SUM(O184:T184)</f>
        <v>12</v>
      </c>
      <c r="V184" s="12">
        <v>2</v>
      </c>
      <c r="W184" s="12">
        <v>1</v>
      </c>
      <c r="X184" s="12">
        <v>1</v>
      </c>
      <c r="Y184" s="12">
        <v>0</v>
      </c>
      <c r="Z184" s="12">
        <v>0</v>
      </c>
      <c r="AA184" s="12">
        <v>0</v>
      </c>
      <c r="AB184" s="11">
        <f>SUM(V184:AA184)</f>
        <v>4</v>
      </c>
      <c r="AC184" s="12">
        <v>2</v>
      </c>
      <c r="AD184" s="12">
        <v>1</v>
      </c>
      <c r="AE184" s="12">
        <v>0</v>
      </c>
      <c r="AF184" s="12">
        <v>0</v>
      </c>
      <c r="AG184" s="12">
        <v>2</v>
      </c>
      <c r="AH184" s="12">
        <v>0</v>
      </c>
      <c r="AI184" s="12">
        <v>0</v>
      </c>
      <c r="AJ184" s="11">
        <f>SUM(AC184:AI184)</f>
        <v>5</v>
      </c>
      <c r="AK184" s="4"/>
    </row>
    <row r="185" spans="2:37" ht="15.75" customHeight="1">
      <c r="B185" s="131" t="s">
        <v>516</v>
      </c>
      <c r="C185" s="132"/>
      <c r="D185" s="132"/>
      <c r="E185" s="9"/>
      <c r="F185" s="10" t="s">
        <v>203</v>
      </c>
      <c r="G185" s="10">
        <v>23</v>
      </c>
      <c r="H185" s="10">
        <v>11</v>
      </c>
      <c r="I185" s="10">
        <v>4</v>
      </c>
      <c r="J185" s="10">
        <v>0</v>
      </c>
      <c r="K185" s="10">
        <v>2</v>
      </c>
      <c r="L185" s="10"/>
      <c r="M185" s="10">
        <v>0</v>
      </c>
      <c r="N185" s="11">
        <f>SUM(G185:M185)</f>
        <v>40</v>
      </c>
      <c r="O185" s="12">
        <v>25</v>
      </c>
      <c r="P185" s="12">
        <v>20</v>
      </c>
      <c r="Q185" s="12">
        <v>2</v>
      </c>
      <c r="R185" s="12">
        <v>1</v>
      </c>
      <c r="S185" s="12">
        <v>4</v>
      </c>
      <c r="T185" s="12">
        <v>0</v>
      </c>
      <c r="U185" s="11">
        <f>SUM(O185:T185)</f>
        <v>52</v>
      </c>
      <c r="V185" s="12">
        <v>24</v>
      </c>
      <c r="W185" s="12">
        <v>22</v>
      </c>
      <c r="X185" s="12">
        <v>1</v>
      </c>
      <c r="Y185" s="12">
        <v>2</v>
      </c>
      <c r="Z185" s="12">
        <v>0</v>
      </c>
      <c r="AA185" s="12">
        <v>1</v>
      </c>
      <c r="AB185" s="11">
        <f>SUM(V185:AA185)</f>
        <v>50</v>
      </c>
      <c r="AC185" s="12">
        <v>5</v>
      </c>
      <c r="AD185" s="12">
        <v>14</v>
      </c>
      <c r="AE185" s="12">
        <v>0</v>
      </c>
      <c r="AF185" s="12">
        <v>1</v>
      </c>
      <c r="AG185" s="12">
        <v>1</v>
      </c>
      <c r="AH185" s="12">
        <v>0</v>
      </c>
      <c r="AI185" s="12">
        <v>0</v>
      </c>
      <c r="AJ185" s="11">
        <f>SUM(AC185:AI185)</f>
        <v>21</v>
      </c>
      <c r="AK185" s="4"/>
    </row>
    <row r="186" spans="2:37" ht="15.75" customHeight="1">
      <c r="B186" s="131" t="s">
        <v>517</v>
      </c>
      <c r="C186" s="131"/>
      <c r="D186" s="131"/>
      <c r="E186" s="10"/>
      <c r="F186" s="10" t="s">
        <v>204</v>
      </c>
      <c r="G186" s="10">
        <v>25</v>
      </c>
      <c r="H186" s="10">
        <v>12</v>
      </c>
      <c r="I186" s="10">
        <v>4</v>
      </c>
      <c r="J186" s="10">
        <v>0</v>
      </c>
      <c r="K186" s="10">
        <v>3</v>
      </c>
      <c r="L186" s="10"/>
      <c r="M186" s="10">
        <v>0</v>
      </c>
      <c r="N186" s="11">
        <f>SUM(G186:M186)</f>
        <v>44</v>
      </c>
      <c r="O186" s="12">
        <v>29</v>
      </c>
      <c r="P186" s="12">
        <v>23</v>
      </c>
      <c r="Q186" s="12">
        <v>3</v>
      </c>
      <c r="R186" s="12">
        <v>2</v>
      </c>
      <c r="S186" s="12">
        <v>5</v>
      </c>
      <c r="T186" s="12">
        <v>0</v>
      </c>
      <c r="U186" s="11">
        <f>SUM(O186:T186)</f>
        <v>62</v>
      </c>
      <c r="V186" s="12">
        <v>26</v>
      </c>
      <c r="W186" s="12">
        <v>23</v>
      </c>
      <c r="X186" s="12">
        <v>2</v>
      </c>
      <c r="Y186" s="12">
        <v>0</v>
      </c>
      <c r="Z186" s="12">
        <v>0</v>
      </c>
      <c r="AA186" s="12">
        <v>0</v>
      </c>
      <c r="AB186" s="11">
        <f>SUM(V186:AA186)</f>
        <v>51</v>
      </c>
      <c r="AC186" s="12">
        <v>7</v>
      </c>
      <c r="AD186" s="12">
        <v>15</v>
      </c>
      <c r="AE186" s="12">
        <v>0</v>
      </c>
      <c r="AF186" s="12">
        <v>1</v>
      </c>
      <c r="AG186" s="12">
        <v>3</v>
      </c>
      <c r="AH186" s="12">
        <v>0</v>
      </c>
      <c r="AI186" s="12">
        <v>0</v>
      </c>
      <c r="AJ186" s="11">
        <v>26</v>
      </c>
      <c r="AK186" s="4"/>
    </row>
    <row r="187" spans="2:37" ht="15.75" customHeight="1">
      <c r="B187" s="131" t="s">
        <v>518</v>
      </c>
      <c r="C187" s="131"/>
      <c r="D187" s="131"/>
      <c r="E187" s="14"/>
      <c r="F187" s="14" t="s">
        <v>205</v>
      </c>
      <c r="G187" s="43">
        <f>G186/(G185+G184)</f>
        <v>0.96153846153846156</v>
      </c>
      <c r="H187" s="43">
        <f>H186/(H185+H184)</f>
        <v>1</v>
      </c>
      <c r="I187" s="43">
        <f>I186/(I185+I184)</f>
        <v>1</v>
      </c>
      <c r="J187" s="43">
        <v>0</v>
      </c>
      <c r="K187" s="43">
        <f>K186/(K185+K184)</f>
        <v>1</v>
      </c>
      <c r="L187" s="43"/>
      <c r="M187" s="43">
        <f t="shared" ref="M187:Y187" si="80">M186/(M185+M184)</f>
        <v>0</v>
      </c>
      <c r="N187" s="47">
        <f t="shared" si="80"/>
        <v>0.95652173913043481</v>
      </c>
      <c r="O187" s="45">
        <f t="shared" si="80"/>
        <v>0.96666666666666667</v>
      </c>
      <c r="P187" s="45">
        <f t="shared" si="80"/>
        <v>1</v>
      </c>
      <c r="Q187" s="45">
        <f t="shared" si="80"/>
        <v>1</v>
      </c>
      <c r="R187" s="45">
        <f t="shared" si="80"/>
        <v>1</v>
      </c>
      <c r="S187" s="45">
        <f t="shared" si="80"/>
        <v>1</v>
      </c>
      <c r="T187" s="45">
        <f t="shared" si="80"/>
        <v>0</v>
      </c>
      <c r="U187" s="47">
        <f t="shared" si="80"/>
        <v>0.96875</v>
      </c>
      <c r="V187" s="45">
        <f t="shared" si="80"/>
        <v>1</v>
      </c>
      <c r="W187" s="45">
        <f t="shared" si="80"/>
        <v>1</v>
      </c>
      <c r="X187" s="45">
        <f t="shared" si="80"/>
        <v>1</v>
      </c>
      <c r="Y187" s="45">
        <f t="shared" si="80"/>
        <v>0</v>
      </c>
      <c r="Z187" s="63" t="s">
        <v>26</v>
      </c>
      <c r="AA187" s="45">
        <f t="shared" ref="AA187:AJ187" si="81">AA186/(AA185+AA184)</f>
        <v>0</v>
      </c>
      <c r="AB187" s="47">
        <f t="shared" si="81"/>
        <v>0.94444444444444442</v>
      </c>
      <c r="AC187" s="45">
        <f t="shared" si="81"/>
        <v>1</v>
      </c>
      <c r="AD187" s="45">
        <f t="shared" si="81"/>
        <v>1</v>
      </c>
      <c r="AE187" s="45" t="e">
        <f t="shared" si="81"/>
        <v>#DIV/0!</v>
      </c>
      <c r="AF187" s="45">
        <f t="shared" si="81"/>
        <v>1</v>
      </c>
      <c r="AG187" s="45">
        <f t="shared" si="81"/>
        <v>1</v>
      </c>
      <c r="AH187" s="45" t="e">
        <f t="shared" si="81"/>
        <v>#DIV/0!</v>
      </c>
      <c r="AI187" s="45" t="e">
        <f t="shared" si="81"/>
        <v>#DIV/0!</v>
      </c>
      <c r="AJ187" s="47">
        <f t="shared" si="81"/>
        <v>1</v>
      </c>
      <c r="AK187" s="19"/>
    </row>
    <row r="188" spans="2:37" ht="15.75" customHeight="1">
      <c r="B188" s="131"/>
      <c r="C188" s="131"/>
      <c r="D188" s="131"/>
      <c r="E188" s="285"/>
      <c r="F188" s="286"/>
      <c r="G188" s="286"/>
      <c r="H188" s="286"/>
      <c r="I188" s="286"/>
      <c r="J188" s="286"/>
      <c r="K188" s="286"/>
      <c r="L188" s="286"/>
      <c r="M188" s="286"/>
      <c r="N188" s="288"/>
      <c r="O188" s="288"/>
      <c r="P188" s="288"/>
      <c r="Q188" s="288"/>
      <c r="R188" s="288"/>
      <c r="S188" s="288"/>
      <c r="T188" s="288"/>
      <c r="U188" s="288"/>
      <c r="V188" s="288"/>
      <c r="W188" s="288"/>
      <c r="X188" s="288"/>
      <c r="Y188" s="288"/>
      <c r="Z188" s="288"/>
      <c r="AA188" s="288"/>
      <c r="AB188" s="288"/>
      <c r="AC188" s="288"/>
      <c r="AD188" s="288"/>
      <c r="AE188" s="288"/>
      <c r="AF188" s="288"/>
      <c r="AG188" s="288"/>
      <c r="AH188" s="288"/>
      <c r="AI188" s="288"/>
      <c r="AJ188" s="288"/>
      <c r="AK188" s="25"/>
    </row>
    <row r="189" spans="2:37" ht="15.75" customHeight="1">
      <c r="B189" s="131" t="s">
        <v>519</v>
      </c>
      <c r="C189" s="131"/>
      <c r="D189" s="131"/>
      <c r="E189" s="7" t="s">
        <v>206</v>
      </c>
      <c r="F189" s="8"/>
      <c r="G189" s="8"/>
      <c r="H189" s="8"/>
      <c r="I189" s="8"/>
      <c r="J189" s="8"/>
      <c r="K189" s="8"/>
      <c r="L189" s="8"/>
      <c r="M189" s="8"/>
      <c r="N189" s="4"/>
      <c r="O189" s="4"/>
      <c r="P189" s="4"/>
      <c r="Q189" s="4"/>
      <c r="R189" s="4"/>
      <c r="S189" s="4"/>
      <c r="T189" s="4"/>
      <c r="U189" s="4"/>
      <c r="V189" s="4"/>
      <c r="W189" s="4"/>
      <c r="X189" s="4"/>
      <c r="Y189" s="4"/>
      <c r="Z189" s="4"/>
      <c r="AA189" s="4"/>
      <c r="AB189" s="4"/>
      <c r="AC189" s="4"/>
      <c r="AD189" s="4"/>
      <c r="AE189" s="4"/>
      <c r="AF189" s="4"/>
      <c r="AG189" s="4"/>
      <c r="AH189" s="4"/>
      <c r="AI189" s="4"/>
      <c r="AJ189" s="4"/>
      <c r="AK189" s="4"/>
    </row>
    <row r="190" spans="2:37" ht="15.75" customHeight="1">
      <c r="B190" s="131" t="s">
        <v>520</v>
      </c>
      <c r="C190" s="131"/>
      <c r="D190" s="131"/>
      <c r="E190" s="9"/>
      <c r="F190" s="10" t="s">
        <v>207</v>
      </c>
      <c r="G190" s="64">
        <v>248.93</v>
      </c>
      <c r="H190" s="64">
        <v>248.93</v>
      </c>
      <c r="I190" s="64">
        <v>248.93</v>
      </c>
      <c r="J190" s="64">
        <v>248.93</v>
      </c>
      <c r="K190" s="64">
        <v>248.93</v>
      </c>
      <c r="L190" s="166"/>
      <c r="M190" s="762" t="s">
        <v>26</v>
      </c>
      <c r="N190" s="65">
        <f>AVERAGE(G190:L190)</f>
        <v>248.93</v>
      </c>
      <c r="O190" s="66">
        <v>207.44</v>
      </c>
      <c r="P190" s="66">
        <v>207.44</v>
      </c>
      <c r="Q190" s="66">
        <v>207.44</v>
      </c>
      <c r="R190" s="66">
        <v>207.44</v>
      </c>
      <c r="S190" s="66">
        <v>207.44</v>
      </c>
      <c r="T190" s="762" t="s">
        <v>26</v>
      </c>
      <c r="U190" s="66">
        <v>207.44</v>
      </c>
      <c r="V190" s="66">
        <v>172.87</v>
      </c>
      <c r="W190" s="66">
        <v>172.87</v>
      </c>
      <c r="X190" s="66">
        <v>172.87</v>
      </c>
      <c r="Y190" s="66">
        <v>172.87</v>
      </c>
      <c r="Z190" s="66">
        <v>172.87</v>
      </c>
      <c r="AA190" s="762" t="s">
        <v>26</v>
      </c>
      <c r="AB190" s="65">
        <f>SUM(V190:AA190)</f>
        <v>864.35</v>
      </c>
      <c r="AC190" s="66">
        <v>141.69999999999999</v>
      </c>
      <c r="AD190" s="66">
        <v>141.69999999999999</v>
      </c>
      <c r="AE190" s="66">
        <v>141.69999999999999</v>
      </c>
      <c r="AF190" s="66">
        <v>141.69999999999999</v>
      </c>
      <c r="AG190" s="66"/>
      <c r="AH190" s="66"/>
      <c r="AI190" s="66" t="s">
        <v>93</v>
      </c>
      <c r="AJ190" s="65">
        <f>AVERAGE(AC190:AI190)</f>
        <v>141.69999999999999</v>
      </c>
      <c r="AK190" s="4" t="s">
        <v>495</v>
      </c>
    </row>
    <row r="191" spans="2:37" ht="15.75" customHeight="1">
      <c r="B191" s="131"/>
      <c r="C191" s="131"/>
      <c r="D191" s="131"/>
      <c r="E191" s="9"/>
      <c r="F191" s="10" t="s">
        <v>208</v>
      </c>
      <c r="G191" s="64">
        <v>0</v>
      </c>
      <c r="H191" s="64">
        <v>0</v>
      </c>
      <c r="I191" s="64">
        <v>0</v>
      </c>
      <c r="J191" s="64">
        <v>0</v>
      </c>
      <c r="K191" s="64">
        <v>0</v>
      </c>
      <c r="L191" s="166"/>
      <c r="M191" s="756"/>
      <c r="N191" s="65">
        <f>SUM(G191:M191)</f>
        <v>0</v>
      </c>
      <c r="O191" s="66">
        <v>0</v>
      </c>
      <c r="P191" s="66">
        <v>0</v>
      </c>
      <c r="Q191" s="66">
        <v>0</v>
      </c>
      <c r="R191" s="66">
        <v>0</v>
      </c>
      <c r="S191" s="66">
        <v>0</v>
      </c>
      <c r="T191" s="756"/>
      <c r="U191" s="65">
        <f>SUM(O191:T191)</f>
        <v>0</v>
      </c>
      <c r="V191" s="66">
        <v>0</v>
      </c>
      <c r="W191" s="66">
        <v>0</v>
      </c>
      <c r="X191" s="66">
        <v>0</v>
      </c>
      <c r="Y191" s="66">
        <v>0</v>
      </c>
      <c r="Z191" s="66">
        <v>0</v>
      </c>
      <c r="AA191" s="756"/>
      <c r="AB191" s="65">
        <f>SUM(V191:AA191)</f>
        <v>0</v>
      </c>
      <c r="AC191" s="66">
        <v>0</v>
      </c>
      <c r="AD191" s="66">
        <v>0</v>
      </c>
      <c r="AE191" s="66">
        <v>0</v>
      </c>
      <c r="AF191" s="66" t="s">
        <v>209</v>
      </c>
      <c r="AG191" s="66"/>
      <c r="AH191" s="66"/>
      <c r="AI191" s="66" t="s">
        <v>93</v>
      </c>
      <c r="AJ191" s="65">
        <f>SUM(AC191:AI191)</f>
        <v>0</v>
      </c>
      <c r="AK191" s="4"/>
    </row>
    <row r="192" spans="2:37" ht="15.75" customHeight="1">
      <c r="B192" s="131" t="s">
        <v>519</v>
      </c>
      <c r="C192" s="131"/>
      <c r="D192" s="131"/>
      <c r="E192" s="9"/>
      <c r="F192" s="10" t="s">
        <v>210</v>
      </c>
      <c r="G192" s="64">
        <v>341.85</v>
      </c>
      <c r="H192" s="64">
        <v>378.62</v>
      </c>
      <c r="I192" s="64">
        <v>250</v>
      </c>
      <c r="J192" s="64">
        <v>335.4</v>
      </c>
      <c r="K192" s="64">
        <v>677.5</v>
      </c>
      <c r="L192" s="166"/>
      <c r="M192" s="756"/>
      <c r="N192" s="65">
        <f>AVERAGE(G192:L192)</f>
        <v>396.67399999999998</v>
      </c>
      <c r="O192" s="66">
        <v>322.5</v>
      </c>
      <c r="P192" s="66">
        <v>508.41</v>
      </c>
      <c r="Q192" s="66">
        <v>324</v>
      </c>
      <c r="R192" s="66">
        <v>636.51</v>
      </c>
      <c r="S192" s="66">
        <v>250</v>
      </c>
      <c r="T192" s="756"/>
      <c r="U192" s="65">
        <f>AVERAGE(O192:S192)</f>
        <v>408.28399999999999</v>
      </c>
      <c r="V192" s="66">
        <v>300</v>
      </c>
      <c r="W192" s="66">
        <v>472.94</v>
      </c>
      <c r="X192" s="66">
        <v>315</v>
      </c>
      <c r="Y192" s="66">
        <v>600</v>
      </c>
      <c r="Z192" s="66">
        <v>733</v>
      </c>
      <c r="AA192" s="756"/>
      <c r="AB192" s="65">
        <f>SUM(V192:AA192)</f>
        <v>2420.94</v>
      </c>
      <c r="AC192" s="66">
        <v>265</v>
      </c>
      <c r="AD192" s="66">
        <v>442</v>
      </c>
      <c r="AE192" s="66">
        <v>200</v>
      </c>
      <c r="AF192" s="66" t="s">
        <v>209</v>
      </c>
      <c r="AG192" s="66"/>
      <c r="AH192" s="66"/>
      <c r="AI192" s="66" t="s">
        <v>93</v>
      </c>
      <c r="AJ192" s="65">
        <f>AVERAGE(AC192:AI192)</f>
        <v>302.33333333333331</v>
      </c>
      <c r="AK192" s="4"/>
    </row>
    <row r="193" spans="2:37" ht="15.75" customHeight="1">
      <c r="B193" s="131" t="s">
        <v>520</v>
      </c>
      <c r="C193" s="131"/>
      <c r="D193" s="131"/>
      <c r="E193" s="10"/>
      <c r="F193" s="10" t="s">
        <v>211</v>
      </c>
      <c r="G193" s="136">
        <v>0</v>
      </c>
      <c r="H193" s="136">
        <v>9</v>
      </c>
      <c r="I193" s="136">
        <v>15</v>
      </c>
      <c r="J193" s="136">
        <v>7</v>
      </c>
      <c r="K193" s="136">
        <v>1</v>
      </c>
      <c r="L193" s="10"/>
      <c r="M193" s="756"/>
      <c r="N193" s="11">
        <f>SUM(G193:M193)</f>
        <v>32</v>
      </c>
      <c r="O193" s="12">
        <v>0</v>
      </c>
      <c r="P193" s="12">
        <v>22</v>
      </c>
      <c r="Q193" s="12">
        <v>4</v>
      </c>
      <c r="R193" s="12">
        <v>1</v>
      </c>
      <c r="S193" s="12">
        <v>6</v>
      </c>
      <c r="T193" s="756"/>
      <c r="U193" s="11">
        <f>SUM(O193:T193)</f>
        <v>33</v>
      </c>
      <c r="V193" s="12">
        <v>1</v>
      </c>
      <c r="W193" s="12">
        <v>26</v>
      </c>
      <c r="X193" s="12">
        <v>6</v>
      </c>
      <c r="Y193" s="12">
        <v>2</v>
      </c>
      <c r="Z193" s="12">
        <v>0</v>
      </c>
      <c r="AA193" s="756"/>
      <c r="AB193" s="11">
        <f>SUM(V193:AA193)</f>
        <v>35</v>
      </c>
      <c r="AC193" s="12">
        <v>0</v>
      </c>
      <c r="AD193" s="12">
        <v>7</v>
      </c>
      <c r="AE193" s="12">
        <v>0</v>
      </c>
      <c r="AF193" s="12" t="s">
        <v>209</v>
      </c>
      <c r="AG193" s="12"/>
      <c r="AH193" s="12"/>
      <c r="AI193" s="12" t="s">
        <v>93</v>
      </c>
      <c r="AJ193" s="11">
        <f>SUM(AC193:AI193)</f>
        <v>7</v>
      </c>
      <c r="AK193" s="4"/>
    </row>
    <row r="194" spans="2:37" ht="15.75" customHeight="1">
      <c r="B194" s="131" t="s">
        <v>520</v>
      </c>
      <c r="C194" s="131"/>
      <c r="D194" s="131"/>
      <c r="E194" s="10"/>
      <c r="F194" s="10" t="s">
        <v>212</v>
      </c>
      <c r="G194" s="136">
        <v>43</v>
      </c>
      <c r="H194" s="136">
        <v>0</v>
      </c>
      <c r="I194" s="136">
        <v>20</v>
      </c>
      <c r="J194" s="136">
        <v>2</v>
      </c>
      <c r="K194" s="136">
        <v>0</v>
      </c>
      <c r="L194" s="10"/>
      <c r="M194" s="756"/>
      <c r="N194" s="11">
        <f>SUM(G194:M194)</f>
        <v>65</v>
      </c>
      <c r="O194" s="12">
        <v>43</v>
      </c>
      <c r="P194" s="12">
        <v>8</v>
      </c>
      <c r="Q194" s="12">
        <v>5</v>
      </c>
      <c r="R194" s="12">
        <v>0</v>
      </c>
      <c r="S194" s="12">
        <v>0</v>
      </c>
      <c r="T194" s="756"/>
      <c r="U194" s="11">
        <f>SUM(O194:T194)</f>
        <v>56</v>
      </c>
      <c r="V194" s="12">
        <v>38</v>
      </c>
      <c r="W194" s="12">
        <v>7</v>
      </c>
      <c r="X194" s="12">
        <v>7</v>
      </c>
      <c r="Y194" s="12">
        <v>1</v>
      </c>
      <c r="Z194" s="12">
        <v>1</v>
      </c>
      <c r="AA194" s="756"/>
      <c r="AB194" s="11">
        <f>SUM(V194:AA194)</f>
        <v>54</v>
      </c>
      <c r="AC194" s="12">
        <v>40</v>
      </c>
      <c r="AD194" s="12">
        <v>24</v>
      </c>
      <c r="AE194" s="12">
        <v>4</v>
      </c>
      <c r="AF194" s="12" t="s">
        <v>209</v>
      </c>
      <c r="AG194" s="12"/>
      <c r="AH194" s="12"/>
      <c r="AI194" s="12" t="s">
        <v>93</v>
      </c>
      <c r="AJ194" s="11">
        <f>SUM(AC194:AI194)</f>
        <v>68</v>
      </c>
      <c r="AK194" s="4"/>
    </row>
    <row r="195" spans="2:37" ht="15.75" customHeight="1">
      <c r="B195" s="131"/>
      <c r="C195" s="131"/>
      <c r="D195" s="131"/>
      <c r="E195" s="10"/>
      <c r="F195" s="10" t="s">
        <v>213</v>
      </c>
      <c r="G195" s="10">
        <v>43</v>
      </c>
      <c r="H195" s="10">
        <v>9</v>
      </c>
      <c r="I195" s="10">
        <v>35</v>
      </c>
      <c r="J195" s="10">
        <v>9</v>
      </c>
      <c r="K195" s="10">
        <v>1</v>
      </c>
      <c r="L195" s="10"/>
      <c r="M195" s="756"/>
      <c r="N195" s="11">
        <f t="shared" ref="N195:S195" si="82">SUM(N193:N194)</f>
        <v>97</v>
      </c>
      <c r="O195" s="12">
        <f t="shared" si="82"/>
        <v>43</v>
      </c>
      <c r="P195" s="12">
        <f t="shared" si="82"/>
        <v>30</v>
      </c>
      <c r="Q195" s="12">
        <f t="shared" si="82"/>
        <v>9</v>
      </c>
      <c r="R195" s="12">
        <f t="shared" si="82"/>
        <v>1</v>
      </c>
      <c r="S195" s="12">
        <f t="shared" si="82"/>
        <v>6</v>
      </c>
      <c r="T195" s="756"/>
      <c r="U195" s="11">
        <f t="shared" ref="U195:Z195" si="83">SUM(U193:U194)</f>
        <v>89</v>
      </c>
      <c r="V195" s="12">
        <f t="shared" si="83"/>
        <v>39</v>
      </c>
      <c r="W195" s="12">
        <f t="shared" si="83"/>
        <v>33</v>
      </c>
      <c r="X195" s="12">
        <f t="shared" si="83"/>
        <v>13</v>
      </c>
      <c r="Y195" s="12">
        <f t="shared" si="83"/>
        <v>3</v>
      </c>
      <c r="Z195" s="12">
        <f t="shared" si="83"/>
        <v>1</v>
      </c>
      <c r="AA195" s="756"/>
      <c r="AB195" s="11">
        <f>SUM(AB193:AB194)</f>
        <v>89</v>
      </c>
      <c r="AC195" s="12">
        <f>SUM(AC193:AC194)</f>
        <v>40</v>
      </c>
      <c r="AD195" s="12">
        <f>SUM(AD193:AD194)</f>
        <v>31</v>
      </c>
      <c r="AE195" s="12">
        <f>SUM(AE193:AE194)</f>
        <v>4</v>
      </c>
      <c r="AF195" s="12" t="s">
        <v>209</v>
      </c>
      <c r="AG195" s="12">
        <f>SUM(AG193:AG194)</f>
        <v>0</v>
      </c>
      <c r="AH195" s="12">
        <f>SUM(AH193:AH194)</f>
        <v>0</v>
      </c>
      <c r="AI195" s="12">
        <f>SUM(AI193:AI194)</f>
        <v>0</v>
      </c>
      <c r="AJ195" s="11">
        <f>SUM(AJ193:AJ194)</f>
        <v>75</v>
      </c>
      <c r="AK195" s="4"/>
    </row>
    <row r="196" spans="2:37" ht="15.75" customHeight="1">
      <c r="B196" s="131"/>
      <c r="C196" s="131"/>
      <c r="D196" s="131"/>
      <c r="E196" s="10"/>
      <c r="F196" s="14" t="s">
        <v>214</v>
      </c>
      <c r="G196" s="43">
        <f>G195/G8</f>
        <v>7.7338129496402883E-2</v>
      </c>
      <c r="H196" s="43">
        <f>H195/H8</f>
        <v>1.7964071856287425E-2</v>
      </c>
      <c r="I196" s="43">
        <f>I195/I8</f>
        <v>0.12027491408934708</v>
      </c>
      <c r="J196" s="43">
        <f>J195/J8</f>
        <v>0.10843373493975904</v>
      </c>
      <c r="K196" s="43">
        <f>K195/K8</f>
        <v>1.3157894736842105E-2</v>
      </c>
      <c r="L196" s="43"/>
      <c r="M196" s="757"/>
      <c r="N196" s="26">
        <f t="shared" ref="N196:S196" si="84">N195/N8</f>
        <v>6.3564875491481002E-2</v>
      </c>
      <c r="O196" s="22">
        <f t="shared" si="84"/>
        <v>7.6512455516014238E-2</v>
      </c>
      <c r="P196" s="22">
        <f t="shared" si="84"/>
        <v>5.9523809523809521E-2</v>
      </c>
      <c r="Q196" s="22">
        <f t="shared" si="84"/>
        <v>7.1428571428571425E-2</v>
      </c>
      <c r="R196" s="22">
        <f t="shared" si="84"/>
        <v>1.2048192771084338E-2</v>
      </c>
      <c r="S196" s="22">
        <f t="shared" si="84"/>
        <v>7.407407407407407E-2</v>
      </c>
      <c r="T196" s="757"/>
      <c r="U196" s="26">
        <f t="shared" ref="U196:Z196" si="85">U195/U8</f>
        <v>6.4727272727272731E-2</v>
      </c>
      <c r="V196" s="22">
        <f t="shared" si="85"/>
        <v>7.2625698324022353E-2</v>
      </c>
      <c r="W196" s="22">
        <f t="shared" si="85"/>
        <v>6.560636182902585E-2</v>
      </c>
      <c r="X196" s="22">
        <f t="shared" si="85"/>
        <v>0.18840579710144928</v>
      </c>
      <c r="Y196" s="22">
        <f t="shared" si="85"/>
        <v>3.6585365853658534E-2</v>
      </c>
      <c r="Z196" s="22">
        <f t="shared" si="85"/>
        <v>1.3698630136986301E-2</v>
      </c>
      <c r="AA196" s="757"/>
      <c r="AB196" s="26">
        <f>AB195/AB8</f>
        <v>6.9045771916214124E-2</v>
      </c>
      <c r="AC196" s="22">
        <f>AC195/AC8</f>
        <v>7.2992700729927001E-2</v>
      </c>
      <c r="AD196" s="22">
        <f>AD195/AD8</f>
        <v>6.3008130081300809E-2</v>
      </c>
      <c r="AE196" s="22">
        <f>AE195/AE8</f>
        <v>6.5573770491803282E-2</v>
      </c>
      <c r="AF196" s="9" t="s">
        <v>209</v>
      </c>
      <c r="AG196" s="22">
        <f>AG195/AG8</f>
        <v>0</v>
      </c>
      <c r="AH196" s="22">
        <f>AH195/AH8</f>
        <v>0</v>
      </c>
      <c r="AI196" s="22">
        <f>AI195/AI8</f>
        <v>0</v>
      </c>
      <c r="AJ196" s="26">
        <f>AJ195/AJ8</f>
        <v>5.9571088165210485E-2</v>
      </c>
      <c r="AK196" s="4"/>
    </row>
    <row r="197" spans="2:37" ht="15.75" customHeight="1">
      <c r="B197" s="131"/>
      <c r="C197" s="131"/>
      <c r="D197" s="131"/>
      <c r="E197" s="285"/>
      <c r="F197" s="286"/>
      <c r="G197" s="286"/>
      <c r="H197" s="286"/>
      <c r="I197" s="286"/>
      <c r="J197" s="286"/>
      <c r="K197" s="286"/>
      <c r="L197" s="286"/>
      <c r="M197" s="286"/>
      <c r="N197" s="286"/>
      <c r="O197" s="286"/>
      <c r="P197" s="286"/>
      <c r="Q197" s="286"/>
      <c r="R197" s="286"/>
      <c r="S197" s="286"/>
      <c r="T197" s="286"/>
      <c r="U197" s="286"/>
      <c r="V197" s="286"/>
      <c r="W197" s="286"/>
      <c r="X197" s="286"/>
      <c r="Y197" s="286"/>
      <c r="Z197" s="286"/>
      <c r="AA197" s="286"/>
      <c r="AB197" s="286"/>
      <c r="AC197" s="286"/>
      <c r="AD197" s="286"/>
      <c r="AE197" s="286"/>
      <c r="AF197" s="286"/>
      <c r="AG197" s="286"/>
      <c r="AH197" s="286"/>
      <c r="AI197" s="286"/>
      <c r="AJ197" s="286"/>
      <c r="AK197" s="4"/>
    </row>
    <row r="198" spans="2:37" ht="15.75" customHeight="1">
      <c r="B198" s="309" t="s">
        <v>521</v>
      </c>
      <c r="C198" s="131"/>
      <c r="D198" s="131"/>
      <c r="E198" s="10"/>
      <c r="F198" s="167" t="s">
        <v>522</v>
      </c>
      <c r="G198" s="14"/>
      <c r="H198" s="14"/>
      <c r="I198" s="14"/>
      <c r="J198" s="14"/>
      <c r="K198" s="14"/>
      <c r="L198" s="14"/>
      <c r="M198" s="14"/>
      <c r="N198" s="26"/>
      <c r="O198" s="22"/>
      <c r="P198" s="22"/>
      <c r="Q198" s="22"/>
      <c r="R198" s="22"/>
      <c r="S198" s="22"/>
      <c r="T198" s="111"/>
      <c r="U198" s="26"/>
      <c r="V198" s="22">
        <f>V196/V9</f>
        <v>0.45348837209302328</v>
      </c>
      <c r="W198" s="22">
        <f>W196/W9</f>
        <v>0.891891891891892</v>
      </c>
      <c r="X198" s="22">
        <f>X196/X9</f>
        <v>0.76470588235294112</v>
      </c>
      <c r="Y198" s="22">
        <f>Y196/Y9</f>
        <v>9.3749999999999986E-2</v>
      </c>
      <c r="Z198" s="22">
        <f>Z196/Z9</f>
        <v>7.1428571428571425E-2</v>
      </c>
      <c r="AA198" s="111"/>
      <c r="AB198" s="26"/>
      <c r="AC198" s="22">
        <f>AC196/AC9</f>
        <v>0.50632911392405067</v>
      </c>
      <c r="AD198" s="22">
        <f>AD196/AD9</f>
        <v>0.86111111111111116</v>
      </c>
      <c r="AE198" s="22">
        <f>AE196/AE9</f>
        <v>0.20000000000000004</v>
      </c>
      <c r="AF198" s="9" t="s">
        <v>209</v>
      </c>
      <c r="AG198" s="22">
        <f>AG196/AG9</f>
        <v>0</v>
      </c>
      <c r="AH198" s="22">
        <f>AH196/AH9</f>
        <v>0</v>
      </c>
      <c r="AI198" s="22">
        <f>AI196/AI9</f>
        <v>0</v>
      </c>
      <c r="AJ198" s="26"/>
      <c r="AK198" s="4"/>
    </row>
  </sheetData>
  <mergeCells count="10">
    <mergeCell ref="M190:M196"/>
    <mergeCell ref="T190:T196"/>
    <mergeCell ref="AA190:AA196"/>
    <mergeCell ref="E2:F2"/>
    <mergeCell ref="E4:F4"/>
    <mergeCell ref="M112:M114"/>
    <mergeCell ref="T112:T114"/>
    <mergeCell ref="AA112:AA114"/>
    <mergeCell ref="R138:T143"/>
    <mergeCell ref="Y138:AA143"/>
  </mergeCells>
  <pageMargins left="0.7" right="0.7" top="0.75" bottom="0.75" header="0" footer="0"/>
  <pageSetup orientation="landscape"/>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c04ec8b-0524-4e1b-9386-97bd1b2198d1">
      <Terms xmlns="http://schemas.microsoft.com/office/infopath/2007/PartnerControls"/>
    </lcf76f155ced4ddcb4097134ff3c332f>
    <TaxCatchAll xmlns="78613193-2221-4c3e-b5e3-51777ba4d14a" xsi:nil="true"/>
    <_Flow_SignoffStatus xmlns="fc04ec8b-0524-4e1b-9386-97bd1b2198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A4D0281AF2314094C87788E0B51EF5" ma:contentTypeVersion="17" ma:contentTypeDescription="Create a new document." ma:contentTypeScope="" ma:versionID="4ed879696a258c22771f386a8863f5b5">
  <xsd:schema xmlns:xsd="http://www.w3.org/2001/XMLSchema" xmlns:xs="http://www.w3.org/2001/XMLSchema" xmlns:p="http://schemas.microsoft.com/office/2006/metadata/properties" xmlns:ns2="fc04ec8b-0524-4e1b-9386-97bd1b2198d1" xmlns:ns3="78613193-2221-4c3e-b5e3-51777ba4d14a" targetNamespace="http://schemas.microsoft.com/office/2006/metadata/properties" ma:root="true" ma:fieldsID="04a65af448356852c628f07c1dd7d74e" ns2:_="" ns3:_="">
    <xsd:import namespace="fc04ec8b-0524-4e1b-9386-97bd1b2198d1"/>
    <xsd:import namespace="78613193-2221-4c3e-b5e3-51777ba4d14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04ec8b-0524-4e1b-9386-97bd1b2198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a3b239a-d191-4695-b731-cfa30f98ce37"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Sign-off status" ma:internalName="Sign_x002d_off_x0020_status">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613193-2221-4c3e-b5e3-51777ba4d14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94e4bb3-700a-4cc2-aca2-b4fdfb69ddc5}" ma:internalName="TaxCatchAll" ma:showField="CatchAllData" ma:web="78613193-2221-4c3e-b5e3-51777ba4d14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D73DFA-022A-4042-9E64-A2FCF8AD7BC0}">
  <ds:schemaRefs>
    <ds:schemaRef ds:uri="http://schemas.microsoft.com/office/2006/metadata/properties"/>
    <ds:schemaRef ds:uri="http://schemas.microsoft.com/office/infopath/2007/PartnerControls"/>
    <ds:schemaRef ds:uri="fc04ec8b-0524-4e1b-9386-97bd1b2198d1"/>
    <ds:schemaRef ds:uri="78613193-2221-4c3e-b5e3-51777ba4d14a"/>
  </ds:schemaRefs>
</ds:datastoreItem>
</file>

<file path=customXml/itemProps2.xml><?xml version="1.0" encoding="utf-8"?>
<ds:datastoreItem xmlns:ds="http://schemas.openxmlformats.org/officeDocument/2006/customXml" ds:itemID="{99CAB286-FA53-489B-84B5-9B487938B211}">
  <ds:schemaRefs>
    <ds:schemaRef ds:uri="http://schemas.microsoft.com/sharepoint/v3/contenttype/forms"/>
  </ds:schemaRefs>
</ds:datastoreItem>
</file>

<file path=customXml/itemProps3.xml><?xml version="1.0" encoding="utf-8"?>
<ds:datastoreItem xmlns:ds="http://schemas.openxmlformats.org/officeDocument/2006/customXml" ds:itemID="{93B159BE-7262-4A29-9474-A252AF5B0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04ec8b-0524-4e1b-9386-97bd1b2198d1"/>
    <ds:schemaRef ds:uri="78613193-2221-4c3e-b5e3-51777ba4d1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Governance</vt:lpstr>
      <vt:lpstr>Workforce</vt:lpstr>
      <vt:lpstr>Health and Safety</vt:lpstr>
      <vt:lpstr>Community Relations</vt:lpstr>
      <vt:lpstr>Water and Biodiversity</vt:lpstr>
      <vt:lpstr>Energy and Emissions</vt:lpstr>
      <vt:lpstr>Tailings and Waste</vt:lpstr>
      <vt:lpstr>Workforce-backup14mar</vt:lpstr>
      <vt:lpstr>Business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Edna Aguiñaga</dc:creator>
  <cp:keywords/>
  <dc:description/>
  <cp:lastModifiedBy>Edna Aguiñaga</cp:lastModifiedBy>
  <cp:revision/>
  <dcterms:created xsi:type="dcterms:W3CDTF">2024-04-26T20:02:06Z</dcterms:created>
  <dcterms:modified xsi:type="dcterms:W3CDTF">2026-05-27T14:07:21Z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0x010100B2A4D0281AF2314094C87788E0B51EF5</vt:lpwstr>
  </property>
  <property fmtid="{D5CDD505-2E9C-101B-9397-08002B2CF9AE}" pid="3" name="MediaServiceImageTags">
    <vt:lpwstr/>
  </property>
</Properties>
</file>